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onewri.sharepoint.com/sites/GHGProtocolCoreTeam/Shared Documents/General/Support Services/Tools/GHGMI toolbox work/Deliverables/Deliverable 3 - Calc fixes/"/>
    </mc:Choice>
  </mc:AlternateContent>
  <xr:revisionPtr revIDLastSave="3" documentId="13_ncr:1_{33E7E6B3-8238-49A5-80B2-02D6865EF463}" xr6:coauthVersionLast="47" xr6:coauthVersionMax="47" xr10:uidLastSave="{FF4302D1-E65F-42A2-BD18-BFC7CE1A8FCD}"/>
  <workbookProtection workbookAlgorithmName="SHA-512" workbookHashValue="rubFpWuSLp5SIlmU5CvkEUEZXZznELxRHF27BvDSQC88X7k0VW4zS8XMLaPvPCak093cbkIMYbWD4dQznnSWcg==" workbookSaltValue="N+EkW0RVHotm/YCVit24IA==" workbookSpinCount="100000" lockStructure="1"/>
  <bookViews>
    <workbookView xWindow="-28920" yWindow="-15" windowWidth="29040" windowHeight="15840" tabRatio="847" xr2:uid="{2A655B9F-8B74-4880-AB2D-568300C2D8C7}"/>
  </bookViews>
  <sheets>
    <sheet name="Welcome!" sheetId="22" r:id="rId1"/>
    <sheet name="1. Introduction" sheetId="12" r:id="rId2"/>
    <sheet name="2. Settings" sheetId="18" r:id="rId3"/>
    <sheet name="3. Calculator" sheetId="3" r:id="rId4"/>
    <sheet name="CO2 EFs" sheetId="10" state="hidden" r:id="rId5"/>
    <sheet name="Tier 1 CH4  EFs" sheetId="13" state="hidden" r:id="rId6"/>
    <sheet name="Tier 1 N2O  EFs" sheetId="15" state="hidden" r:id="rId7"/>
    <sheet name="ghostSpreadsheet_CO2" sheetId="8" state="hidden" r:id="rId8"/>
    <sheet name="ghostSpreadsheet_CH4" sheetId="4" state="hidden" r:id="rId9"/>
    <sheet name="ghostSpreadsheet_N2O" sheetId="14" state="hidden" r:id="rId10"/>
    <sheet name="General_listings" sheetId="11" state="hidden" r:id="rId11"/>
    <sheet name="Revision history" sheetId="20" r:id="rId12"/>
    <sheet name="Ti 2er3-remove" sheetId="17" state="hidden" r:id="rId13"/>
    <sheet name="Tier3EDFs-remove" sheetId="16" state="hidden" r:id="rId14"/>
  </sheets>
  <definedNames>
    <definedName name="_xlnm._FilterDatabase" localSheetId="2" hidden="1">'2. Settings'!$B$13:$E$13</definedName>
    <definedName name="_xlnm._FilterDatabase" localSheetId="6" hidden="1">'Tier 1 N2O  EFs'!$I$313:$N$313</definedName>
    <definedName name="actualFuelNames">General_listings!$B$47:$B$95</definedName>
    <definedName name="Agriculture">'Tier 1 CH4  EFs'!$N$7:$O$60</definedName>
    <definedName name="agricultureGasEFs">'Tier 1 CH4  EFs'!$B$390:$G$397</definedName>
    <definedName name="agricultureGasEFsN2O">'Tier 1 N2O  EFs'!$B$389:$G$396</definedName>
    <definedName name="agricultureLiquidEFs">'Tier 1 CH4  EFs'!$B$234:$G$256</definedName>
    <definedName name="agricultureLiquidEFsN2O">'Tier 1 N2O  EFs'!$B$233:$G$255</definedName>
    <definedName name="AgricultureN2O">'Tier 1 N2O  EFs'!$N$7:$O$60</definedName>
    <definedName name="allFuels">General_listings!$B$267:$B$318</definedName>
    <definedName name="Biomass">General_listings!$E$173:$E$184</definedName>
    <definedName name="CO2perGJ_jet">#REF!</definedName>
    <definedName name="Coal_products" localSheetId="11">'CO2 EFs'!$C$28:$C$43</definedName>
    <definedName name="Coal_products">'CO2 EFs'!$C$28:$C$43</definedName>
    <definedName name="Commercial">'Tier 1 CH4  EFs'!$H$7:$I$60</definedName>
    <definedName name="commercialGasEFs">'Tier 1 CH4  EFs'!$B$354:$G$361</definedName>
    <definedName name="commercialGasEFsN2O">'Tier 1 N2O  EFs'!$B$353:$G$360</definedName>
    <definedName name="commercialLiquidEFs">'Tier 1 CH4  EFs'!$B$153:$G$175</definedName>
    <definedName name="commercialLiquidEFsN2O">'Tier 1 N2O  EFs'!$B$152:$G$174</definedName>
    <definedName name="CommercialN2O">'Tier 1 N2O  EFs'!$H$7:$I$60</definedName>
    <definedName name="Construction">'Tier 1 CH4  EFs'!$F$7:$G$60</definedName>
    <definedName name="constructionGasEFs">'Tier 1 CH4  EFs'!$B$342:$G$349</definedName>
    <definedName name="constructionGasEFsN2O">'Tier 1 N2O  EFs'!$B$341:$G$348</definedName>
    <definedName name="constructionLiquidEFs">'Tier 1 CH4  EFs'!$B$126:$G$148</definedName>
    <definedName name="constructionLiquidEFsN2O">'Tier 1 N2O  EFs'!$B$125:$G$147</definedName>
    <definedName name="ConstructionN2O">'Tier 1 N2O  EFs'!$F$7:$G$60</definedName>
    <definedName name="customConversionFactors">General_listings!$B$382:$E$395</definedName>
    <definedName name="customFuelTypes" localSheetId="11">General_listings!$B$398:$B$399</definedName>
    <definedName name="customFuelTypes">General_listings!$B$398:$B$399</definedName>
    <definedName name="customTable">'2. Settings'!$B$57:$S$75</definedName>
    <definedName name="customUnitMap">General_listings!$B$365:$C$378</definedName>
    <definedName name="D1_Air">#REF!</definedName>
    <definedName name="D1_Air_total">#REF!</definedName>
    <definedName name="D1_Boat">#REF!</definedName>
    <definedName name="D1_Boat_total">#REF!</definedName>
    <definedName name="D1_Rail">#REF!</definedName>
    <definedName name="D1_Rail_total">#REF!</definedName>
    <definedName name="D1_Road">#REF!</definedName>
    <definedName name="D1_Road_total">#REF!</definedName>
    <definedName name="denominatorConversionTable" localSheetId="11">General_listings!$B$347:$C$361</definedName>
    <definedName name="denominatorConversionTable">General_listings!$B$347:$C$361</definedName>
    <definedName name="denominators">General_listings!$C$323:$C$336</definedName>
    <definedName name="Density_Config">'2. Settings'!$B$13:$E$47</definedName>
    <definedName name="DensityGas">'2. Settings'!$E$13:$G$21</definedName>
    <definedName name="DensityLiquid">'2. Settings'!$B$13:$C$38</definedName>
    <definedName name="DirectPart1">#REF!</definedName>
    <definedName name="eight">'CO2 EFs'!$I$241:$I$249</definedName>
    <definedName name="eighteen">'CO2 EFs'!$S$241:$S$249</definedName>
    <definedName name="eleven">'CO2 EFs'!$L$241:$L$249</definedName>
    <definedName name="Energy">'Tier 1 CH4  EFs'!$B$7:$C$60</definedName>
    <definedName name="energyEFs">'CO2 EFs'!$C$66:$E$71</definedName>
    <definedName name="energyGasEFs">'Tier 1 CH4  EFs'!$B$318:$G$325</definedName>
    <definedName name="energyGasEFsN2O">'Tier 1 N2O  EFs'!$B$317:$G$324</definedName>
    <definedName name="energyLiquidEFs">'Tier 1 CH4  EFs'!$B$71:$G$93</definedName>
    <definedName name="energyLiquidEFsN2O">'Tier 1 N2O  EFs'!$B$71:$G$93</definedName>
    <definedName name="EnergyN2O">'Tier 1 N2O  EFs'!$B$7:$C$60</definedName>
    <definedName name="errorMessageTable" localSheetId="11">General_listings!$B$404:$K$405</definedName>
    <definedName name="errorMessageTable">General_listings!$B$404:$K$405</definedName>
    <definedName name="fifty">'CO2 EFs'!$R$277:$R$285</definedName>
    <definedName name="fiftyfour">'CO2 EFs'!$E$290:$E$291</definedName>
    <definedName name="fiftyone">'CO2 EFs'!$B$290:$B$295</definedName>
    <definedName name="fiftythree">'CO2 EFs'!$D$290:$D$292</definedName>
    <definedName name="fiftytwo">'CO2 EFs'!$C$290:$C$292</definedName>
    <definedName name="Fisheries">'Tier 1 CH4  EFs'!$R$7:$S$60</definedName>
    <definedName name="fisheriesGasEFs">'Tier 1 CH4  EFs'!$B$414:$G$421</definedName>
    <definedName name="fisheriesGasEFsN2O">'Tier 1 N2O  EFs'!$B$413:$G$420</definedName>
    <definedName name="fisheriesLiquidEFs">'Tier 1 CH4  EFs'!$B$288:$G$310</definedName>
    <definedName name="fisheriesLiquidEFsN2O">'Tier 1 N2O  EFs'!$B$287:$G$309</definedName>
    <definedName name="FisheriesN2O">'Tier 1 N2O  EFs'!$R$7:$S$60</definedName>
    <definedName name="five">'CO2 EFs'!$F$241:$F$249</definedName>
    <definedName name="fiveteen">'CO2 EFs'!$P$241:$P$249</definedName>
    <definedName name="Forestry">'Tier 1 CH4  EFs'!$P$7:$Q$60</definedName>
    <definedName name="forestryGasEFs">'Tier 1 CH4  EFs'!$B$402:$G$409</definedName>
    <definedName name="forestryGasEFsN2O">'Tier 1 N2O  EFs'!$B$401:$G$408</definedName>
    <definedName name="forestryLiquidEFs">'Tier 1 CH4  EFs'!$B$261:$G$283</definedName>
    <definedName name="forestryLiquidEFsN2O">'Tier 1 N2O  EFs'!$B$260:$G$282</definedName>
    <definedName name="ForestryN2O">'Tier 1 N2O  EFs'!$P$7:$Q$60</definedName>
    <definedName name="forty">'CO2 EFs'!$H$277:$H$285</definedName>
    <definedName name="fortyeight">'CO2 EFs'!$P$277:$P$285</definedName>
    <definedName name="fortyfive">'CO2 EFs'!$M$277:$M$285</definedName>
    <definedName name="fortyfour">'CO2 EFs'!$L$277:$L$285</definedName>
    <definedName name="fortynine">'CO2 EFs'!$Q$277:$Q$285</definedName>
    <definedName name="fortyone">'CO2 EFs'!$I$277:$I$285</definedName>
    <definedName name="fortyseven">'CO2 EFs'!$O$277:$O$285</definedName>
    <definedName name="fortysix">'CO2 EFs'!$N$277:$N$285</definedName>
    <definedName name="fortythree">'CO2 EFs'!$K$277:$K$285</definedName>
    <definedName name="fortytwo">'CO2 EFs'!$J$277:$J$285</definedName>
    <definedName name="four">'CO2 EFs'!$E$241:$E$249</definedName>
    <definedName name="fourCategories">General_listings!$B$196:$B$200</definedName>
    <definedName name="fourteen">'CO2 EFs'!$O$241:$O$249</definedName>
    <definedName name="FuelDefinitions" localSheetId="11">General_listings!$C$47:$F$95</definedName>
    <definedName name="FuelDefinitions">General_listings!$B$47:$F$95</definedName>
    <definedName name="fuelInfo">'CO2 EFs'!$C$6:$K$59</definedName>
    <definedName name="Fuels" localSheetId="11">General_listings!$B$47:$B$95</definedName>
    <definedName name="Fuels">General_listings!$B$47:$B$95</definedName>
    <definedName name="fuelTypes">General_listings!$B$164:$B$166</definedName>
    <definedName name="Gas">General_listings!$B$145:$B$147</definedName>
    <definedName name="gaseousFossil">General_listings!$D$173:$D$182</definedName>
    <definedName name="gasMeter3EFs">'CO2 EFs'!$B$348:$C$355</definedName>
    <definedName name="gasReflection">General_listings!$B$145:$C$147</definedName>
    <definedName name="gasUnits">General_listings!$E$145:$E$153</definedName>
    <definedName name="Gjperton_jet">#REF!</definedName>
    <definedName name="GWPSets">General_listings!$B$261:$B$263</definedName>
    <definedName name="GWPTable">General_listings!$B$261:$E$263</definedName>
    <definedName name="heatingValueCodes">General_listings!$B$5:$D$6</definedName>
    <definedName name="heatingValues">General_listings!$B$5:$B$6</definedName>
    <definedName name="Higher">General_listings!$J$4</definedName>
    <definedName name="HVConversionValues">General_listings!$B$206:$C$257</definedName>
    <definedName name="HVList">General_listings!$F$4:$F$5</definedName>
    <definedName name="In2_Air">#REF!</definedName>
    <definedName name="In2_Air_total">#REF!</definedName>
    <definedName name="In2_Boat">#REF!</definedName>
    <definedName name="In2_Boat_total">#REF!</definedName>
    <definedName name="In2_Rail">#REF!</definedName>
    <definedName name="In2_Rail_total">#REF!</definedName>
    <definedName name="IN2_Road_total">#REF!</definedName>
    <definedName name="Industrial_wastes">'CO2 EFs'!$P$241:$P$249</definedName>
    <definedName name="Industries" localSheetId="11">General_listings!$B$12:$B$21</definedName>
    <definedName name="Industries">General_listings!$B$13:$B$21</definedName>
    <definedName name="industryEFTableKeys">'Tier 1 CH4  EFs'!$B$427:$D$435</definedName>
    <definedName name="industryEFTableKeysN2O">'Tier 1 N2O  EFs'!$B$425:$D$433</definedName>
    <definedName name="industryTypes">General_listings!$B$13:$D$21</definedName>
    <definedName name="Institutional">'Tier 1 CH4  EFs'!$J$7:$K$60</definedName>
    <definedName name="institutionalGasEFs">'Tier 1 CH4  EFs'!$B$366:$G$27861</definedName>
    <definedName name="institutionalGasEFsN2O">'Tier 1 N2O  EFs'!$B$365:$G$372</definedName>
    <definedName name="institutionalLiquidEFs">'Tier 1 CH4  EFs'!$B$180:$G$202</definedName>
    <definedName name="institutionalLiquidEFsN2O">'Tier 1 N2O  EFs'!$B$179:$G$201</definedName>
    <definedName name="InstitutionalN2O">'Tier 1 N2O  EFs'!$J$7:$K$60</definedName>
    <definedName name="kmper_nm">#REF!</definedName>
    <definedName name="line_type">#REF!</definedName>
    <definedName name="Liquid">General_listings!$B$124:$B$134</definedName>
    <definedName name="liquidFossil">General_listings!$C$173:$C$192</definedName>
    <definedName name="liquidLiterEFs">'CO2 EFs'!$B$320:$C$343</definedName>
    <definedName name="liquidReflection">General_listings!$B$124:$C$134</definedName>
    <definedName name="liquidUnits">General_listings!$E$123:$E$144</definedName>
    <definedName name="Lower">General_listings!$K$4</definedName>
    <definedName name="Manufacturing">'Tier 1 CH4  EFs'!$D$7:$E$60</definedName>
    <definedName name="manufacturingGasEFs">'Tier 1 CH4  EFs'!$B$330:$G$337</definedName>
    <definedName name="manufacturingGasEFsN2O">'Tier 1 N2O  EFs'!$B$329:$G$336</definedName>
    <definedName name="manufacturingLiquidEFs">'Tier 1 CH4  EFs'!$B$99:$G$121</definedName>
    <definedName name="manufacturingLiquidEFsN2O">'Tier 1 N2O  EFs'!$B$98:$G$120</definedName>
    <definedName name="ManufacturingN2O">'Tier 1 N2O  EFs'!$D$7:$E$60</definedName>
    <definedName name="myFuels">'2. Settings'!$B$57:$B$75</definedName>
    <definedName name="N2OIndustryKeys">'Tier 1 N2O  EFs'!$B$439:$C$447</definedName>
    <definedName name="nine">'CO2 EFs'!$J$241:$J$249</definedName>
    <definedName name="nineteen">'CO2 EFs'!$T$241:$T$249</definedName>
    <definedName name="notApplicable">General_listings!$H$4</definedName>
    <definedName name="numeratorConversionTable" localSheetId="11">General_listings!$B$340:$C$343</definedName>
    <definedName name="numeratorConversionTable">General_listings!$B$340:$C$343</definedName>
    <definedName name="numerators" localSheetId="11">General_listings!$B$323:$B$326</definedName>
    <definedName name="numerators">General_listings!$B$323:$B$326</definedName>
    <definedName name="Oil_products">'CO2 EFs'!$C$6:$C$27</definedName>
    <definedName name="one">'CO2 EFs'!$B$241:$B$249</definedName>
    <definedName name="Other_waste">'CO2 EFs'!$C$45:$C$47</definedName>
    <definedName name="_xlnm.Print_Area">#REF!</definedName>
    <definedName name="_xlnm.Print_Titles">#REF!</definedName>
    <definedName name="Residential">'Tier 1 CH4  EFs'!$L$7:$M$60</definedName>
    <definedName name="residentialGasEFs">'Tier 1 CH4  EFs'!$B$378:$G$385</definedName>
    <definedName name="residentialGasEFsN2O">'Tier 1 N2O  EFs'!$B$377:$G$384</definedName>
    <definedName name="residentialLiquidEFs">'Tier 1 CH4  EFs'!$B$207:$G$229</definedName>
    <definedName name="residentialLiquidEFsN2O">'Tier 1 N2O  EFs'!$B$206:$G$228</definedName>
    <definedName name="ResidentialN2O">'Tier 1 N2O  EFs'!$L$7:$M$60</definedName>
    <definedName name="sectorDefinitions" localSheetId="11">General_listings!$B$409:$F$417</definedName>
    <definedName name="sectorDefinitions">General_listings!$B$409:$F$417</definedName>
    <definedName name="seven">'CO2 EFs'!$H$241:$H$249</definedName>
    <definedName name="seventeen">'CO2 EFs'!$R$241:$R$249</definedName>
    <definedName name="six">'CO2 EFs'!$G$241:$G$249</definedName>
    <definedName name="sixteen">'CO2 EFs'!$Q$241:$Q$249</definedName>
    <definedName name="Solid">General_listings!$B$103:$B$121</definedName>
    <definedName name="solidEFs">'CO2 EFs'!$C$76:$E$78</definedName>
    <definedName name="solidFossil">General_listings!$B$173:$B$192</definedName>
    <definedName name="solidReflection">General_listings!$B$103:$C$121</definedName>
    <definedName name="solidUnits">General_listings!$E$103:$E$122</definedName>
    <definedName name="stateMap">General_listings!$B$196:$C$200</definedName>
    <definedName name="ten">'CO2 EFs'!$K$241:$K$249</definedName>
    <definedName name="thirteen">'CO2 EFs'!$N$241:$N$249</definedName>
    <definedName name="thirty">'CO2 EFs'!$L$253:$L$261</definedName>
    <definedName name="thirtyeight">'CO2 EFs'!$F$277:$F$285</definedName>
    <definedName name="thirtyfive">'CO2 EFs'!$C$277:$C$285</definedName>
    <definedName name="thirtyfour">'CO2 EFs'!$B$277:$B$285</definedName>
    <definedName name="thirtynine">'CO2 EFs'!$G$277:$G$285</definedName>
    <definedName name="thirtyone">'CO2 EFs'!$B$265:$B$273</definedName>
    <definedName name="thirtyseven">'CO2 EFs'!$E$277:$E$285</definedName>
    <definedName name="thirtysix">'CO2 EFs'!$D$277:$D$285</definedName>
    <definedName name="thirtythree">'CO2 EFs'!$D$265:$D$272</definedName>
    <definedName name="thirtytwo">'CO2 EFs'!$C$265:$C$272</definedName>
    <definedName name="three">'CO2 EFs'!$D$241:$D$249</definedName>
    <definedName name="twelve">'CO2 EFs'!$M$241:$M$249</definedName>
    <definedName name="twenty">'CO2 EFs'!$B$253:$B$261</definedName>
    <definedName name="twentyeight">'CO2 EFs'!$J$253:$J$261</definedName>
    <definedName name="twentyfive">'CO2 EFs'!$G$253:$G$261</definedName>
    <definedName name="twentyfour">'CO2 EFs'!$F$253:$F$261</definedName>
    <definedName name="twentynine">'CO2 EFs'!$K$253:$K$261</definedName>
    <definedName name="twentyone">'CO2 EFs'!$C$253:$C$261</definedName>
    <definedName name="twentyseven">'CO2 EFs'!$I$253:$I$261</definedName>
    <definedName name="twentysix">'CO2 EFs'!$H$253:$H$261</definedName>
    <definedName name="twentythree">'CO2 EFs'!$E$253:$E$261</definedName>
    <definedName name="twentytwo">'CO2 EFs'!$D$253:$D$261</definedName>
    <definedName name="two">'CO2 EFs'!$C$241:$C$249</definedName>
    <definedName name="unitCodes">General_listings!$B$103:$E$157</definedName>
    <definedName name="unitStates">'CO2 EFs'!$B$301:$F$314</definedName>
    <definedName name="unitStateTypes">'CO2 EFs'!$B$301:$C$314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3" l="1"/>
  <c r="P26" i="3"/>
  <c r="Q26" i="3"/>
  <c r="S26" i="3" s="1"/>
  <c r="U26" i="3" s="1"/>
  <c r="R26" i="3"/>
  <c r="T26" i="3"/>
  <c r="V26" i="3"/>
  <c r="P27" i="3"/>
  <c r="U27" i="3" s="1"/>
  <c r="Q27" i="3"/>
  <c r="R27" i="3"/>
  <c r="S27" i="3"/>
  <c r="T27" i="3"/>
  <c r="V27" i="3"/>
  <c r="P28" i="3"/>
  <c r="Q28" i="3"/>
  <c r="R28" i="3"/>
  <c r="S28" i="3"/>
  <c r="T28" i="3"/>
  <c r="U28" i="3"/>
  <c r="V28" i="3"/>
  <c r="P29" i="3"/>
  <c r="Q29" i="3"/>
  <c r="R29" i="3"/>
  <c r="S29" i="3"/>
  <c r="T29" i="3"/>
  <c r="V29" i="3"/>
  <c r="P30" i="3"/>
  <c r="U30" i="3" s="1"/>
  <c r="Q30" i="3"/>
  <c r="R30" i="3"/>
  <c r="S30" i="3"/>
  <c r="T30" i="3"/>
  <c r="V30" i="3"/>
  <c r="P31" i="3"/>
  <c r="U31" i="3" s="1"/>
  <c r="Q31" i="3"/>
  <c r="R31" i="3"/>
  <c r="S31" i="3"/>
  <c r="T31" i="3"/>
  <c r="V31" i="3"/>
  <c r="P32" i="3"/>
  <c r="Q32" i="3"/>
  <c r="R32" i="3"/>
  <c r="T32" i="3" s="1"/>
  <c r="S32" i="3"/>
  <c r="V32" i="3"/>
  <c r="C29" i="12"/>
  <c r="AB9" i="3" a="1"/>
  <c r="AB9" i="3" s="1"/>
  <c r="AB10" i="3" a="1"/>
  <c r="AB10" i="3" s="1"/>
  <c r="AB11" i="3" a="1"/>
  <c r="AB11" i="3" s="1"/>
  <c r="AB12" i="3" a="1"/>
  <c r="AB12" i="3" s="1"/>
  <c r="AB13" i="3" a="1"/>
  <c r="AB13" i="3" s="1"/>
  <c r="AB14" i="3" a="1"/>
  <c r="AB14" i="3" s="1"/>
  <c r="AB15" i="3" a="1"/>
  <c r="AB15" i="3" s="1"/>
  <c r="AB16" i="3" a="1"/>
  <c r="AB16" i="3" s="1"/>
  <c r="AB17" i="3" a="1"/>
  <c r="AB17" i="3" s="1"/>
  <c r="AB18" i="3" a="1"/>
  <c r="AB18" i="3" s="1"/>
  <c r="AB19" i="3" a="1"/>
  <c r="AB19" i="3" s="1"/>
  <c r="AB20" i="3" a="1"/>
  <c r="AB20" i="3" s="1"/>
  <c r="AB21" i="3" a="1"/>
  <c r="AB21" i="3" s="1"/>
  <c r="AB22" i="3" a="1"/>
  <c r="AB22" i="3" s="1"/>
  <c r="AB23" i="3" a="1"/>
  <c r="AB23" i="3" s="1"/>
  <c r="AB24" i="3" a="1"/>
  <c r="AB24" i="3" s="1"/>
  <c r="AB25" i="3" a="1"/>
  <c r="AB25" i="3" s="1"/>
  <c r="AB26" i="3" a="1"/>
  <c r="AB26" i="3" s="1"/>
  <c r="AB27" i="3" a="1"/>
  <c r="AB27" i="3" s="1"/>
  <c r="AB28" i="3" a="1"/>
  <c r="AB28" i="3" s="1"/>
  <c r="AB29" i="3" a="1"/>
  <c r="AB29" i="3" s="1"/>
  <c r="AB30" i="3" a="1"/>
  <c r="AB30" i="3" s="1"/>
  <c r="AB31" i="3" a="1"/>
  <c r="AB31" i="3" s="1"/>
  <c r="AB32" i="3" a="1"/>
  <c r="AB32" i="3" s="1"/>
  <c r="AB8" i="3" a="1"/>
  <c r="AB8" i="3" s="1"/>
  <c r="M8" i="3"/>
  <c r="M9" i="3"/>
  <c r="M10" i="3"/>
  <c r="M11" i="3"/>
  <c r="M12" i="3"/>
  <c r="M13" i="3"/>
  <c r="M14" i="3"/>
  <c r="M15" i="3"/>
  <c r="M16" i="3"/>
  <c r="M17" i="3"/>
  <c r="M18" i="3"/>
  <c r="M19" i="3"/>
  <c r="M20" i="3"/>
  <c r="M21" i="3"/>
  <c r="M22" i="3"/>
  <c r="M23" i="3"/>
  <c r="M24" i="3"/>
  <c r="M25" i="3"/>
  <c r="M26" i="3"/>
  <c r="M27" i="3"/>
  <c r="M28" i="3"/>
  <c r="M29" i="3"/>
  <c r="M30" i="3"/>
  <c r="M31" i="3"/>
  <c r="M32" i="3"/>
  <c r="I10" i="8"/>
  <c r="U29" i="3" l="1"/>
  <c r="U32" i="3"/>
  <c r="B29" i="14"/>
  <c r="C29" i="14"/>
  <c r="D29" i="14"/>
  <c r="E29" i="14"/>
  <c r="F29" i="14"/>
  <c r="G29" i="14"/>
  <c r="H29" i="14"/>
  <c r="I29" i="14" s="1"/>
  <c r="K29" i="14"/>
  <c r="L29" i="14"/>
  <c r="M29" i="14" s="1"/>
  <c r="O29" i="14" s="1"/>
  <c r="T29" i="14"/>
  <c r="U29" i="14"/>
  <c r="Y29" i="14"/>
  <c r="AG29" i="14"/>
  <c r="B30" i="14"/>
  <c r="C30" i="14"/>
  <c r="AD30" i="14" s="1"/>
  <c r="D30" i="14"/>
  <c r="E30" i="14"/>
  <c r="F30" i="14"/>
  <c r="G30" i="14"/>
  <c r="AG30" i="14" s="1"/>
  <c r="H30" i="14"/>
  <c r="I30" i="14" s="1"/>
  <c r="K30" i="14"/>
  <c r="L30" i="14"/>
  <c r="R30" i="14" s="1"/>
  <c r="T30" i="14"/>
  <c r="B31" i="14"/>
  <c r="C31" i="14"/>
  <c r="AD31" i="14" s="1"/>
  <c r="AF31" i="14" s="1"/>
  <c r="D31" i="14"/>
  <c r="E31" i="14"/>
  <c r="F31" i="14"/>
  <c r="G31" i="14"/>
  <c r="AG31" i="14" s="1"/>
  <c r="H31" i="14"/>
  <c r="I31" i="14" s="1"/>
  <c r="K31" i="14"/>
  <c r="L31" i="14"/>
  <c r="R31" i="14" s="1"/>
  <c r="T31" i="14"/>
  <c r="B32" i="14"/>
  <c r="C32" i="14"/>
  <c r="AD32" i="14" s="1"/>
  <c r="D32" i="14"/>
  <c r="E32" i="14"/>
  <c r="F32" i="14"/>
  <c r="G32" i="14"/>
  <c r="AG32" i="14" s="1"/>
  <c r="H32" i="14"/>
  <c r="J32" i="14" s="1"/>
  <c r="K32" i="14"/>
  <c r="L32" i="14"/>
  <c r="U32" i="14" s="1"/>
  <c r="T32" i="14"/>
  <c r="B33" i="14"/>
  <c r="C33" i="14"/>
  <c r="AE33" i="14" s="1"/>
  <c r="D33" i="14"/>
  <c r="E33" i="14"/>
  <c r="F33" i="14"/>
  <c r="G33" i="14"/>
  <c r="AG33" i="14" s="1"/>
  <c r="H33" i="14"/>
  <c r="J33" i="14" s="1"/>
  <c r="K33" i="14"/>
  <c r="L33" i="14"/>
  <c r="R33" i="14" s="1"/>
  <c r="T33" i="14"/>
  <c r="B34" i="14"/>
  <c r="C34" i="14"/>
  <c r="D34" i="14"/>
  <c r="E34" i="14"/>
  <c r="F34" i="14"/>
  <c r="G34" i="14"/>
  <c r="AG34" i="14" s="1"/>
  <c r="H34" i="14"/>
  <c r="I34" i="14" s="1"/>
  <c r="K34" i="14"/>
  <c r="L34" i="14"/>
  <c r="R34" i="14" s="1"/>
  <c r="T34" i="14"/>
  <c r="C29" i="4"/>
  <c r="D29" i="4"/>
  <c r="E29" i="4"/>
  <c r="F29" i="4"/>
  <c r="G29" i="4"/>
  <c r="AF29" i="4" s="1"/>
  <c r="H29" i="4"/>
  <c r="I29" i="4" s="1"/>
  <c r="J29" i="4"/>
  <c r="AA27" i="3" s="1"/>
  <c r="K29" i="4"/>
  <c r="T29" i="4" s="1"/>
  <c r="S29" i="4"/>
  <c r="C30" i="4"/>
  <c r="AC30" i="4" s="1"/>
  <c r="AG30" i="4" s="1"/>
  <c r="D30" i="4"/>
  <c r="E30" i="4"/>
  <c r="F30" i="4"/>
  <c r="G30" i="4"/>
  <c r="AF30" i="4" s="1"/>
  <c r="H30" i="4"/>
  <c r="I30" i="4" s="1"/>
  <c r="J30" i="4"/>
  <c r="AA28" i="3" s="1"/>
  <c r="K30" i="4"/>
  <c r="S30" i="4"/>
  <c r="C31" i="4"/>
  <c r="AD31" i="4" s="1"/>
  <c r="D31" i="4"/>
  <c r="E31" i="4"/>
  <c r="F31" i="4"/>
  <c r="G31" i="4"/>
  <c r="AF31" i="4" s="1"/>
  <c r="H31" i="4"/>
  <c r="I31" i="4" s="1"/>
  <c r="J31" i="4"/>
  <c r="AA29" i="3" s="1"/>
  <c r="K31" i="4"/>
  <c r="T31" i="4" s="1"/>
  <c r="S31" i="4"/>
  <c r="C32" i="4"/>
  <c r="AC32" i="4" s="1"/>
  <c r="D32" i="4"/>
  <c r="E32" i="4"/>
  <c r="F32" i="4"/>
  <c r="G32" i="4"/>
  <c r="AF32" i="4" s="1"/>
  <c r="H32" i="4"/>
  <c r="I32" i="4" s="1"/>
  <c r="J32" i="4"/>
  <c r="AA30" i="3" s="1"/>
  <c r="K32" i="4"/>
  <c r="T32" i="4" s="1"/>
  <c r="S32" i="4"/>
  <c r="C33" i="4"/>
  <c r="D33" i="4"/>
  <c r="E33" i="4"/>
  <c r="F33" i="4"/>
  <c r="G33" i="4"/>
  <c r="H33" i="4"/>
  <c r="I33" i="4" s="1"/>
  <c r="J33" i="4"/>
  <c r="AA31" i="3" s="1"/>
  <c r="K33" i="4"/>
  <c r="Q33" i="4" s="1"/>
  <c r="S33" i="4"/>
  <c r="AF33" i="4"/>
  <c r="C34" i="4"/>
  <c r="D34" i="4"/>
  <c r="E34" i="4"/>
  <c r="F34" i="4"/>
  <c r="G34" i="4"/>
  <c r="AF34" i="4" s="1"/>
  <c r="H34" i="4"/>
  <c r="I34" i="4" s="1"/>
  <c r="J34" i="4"/>
  <c r="AA32" i="3" s="1"/>
  <c r="K34" i="4"/>
  <c r="Q34" i="4" s="1"/>
  <c r="S34" i="4"/>
  <c r="C29" i="8"/>
  <c r="D29" i="8"/>
  <c r="AO29" i="8" s="1"/>
  <c r="E29" i="8"/>
  <c r="F29" i="8"/>
  <c r="G29" i="8"/>
  <c r="H29" i="8"/>
  <c r="AQ29" i="8" s="1"/>
  <c r="I29" i="8"/>
  <c r="J29" i="8"/>
  <c r="K29" i="8"/>
  <c r="L29" i="8"/>
  <c r="C30" i="8"/>
  <c r="D30" i="8"/>
  <c r="AO30" i="8" s="1"/>
  <c r="E30" i="8"/>
  <c r="F30" i="8"/>
  <c r="G30" i="8"/>
  <c r="H30" i="8"/>
  <c r="AQ30" i="8" s="1"/>
  <c r="I30" i="8"/>
  <c r="J30" i="8"/>
  <c r="K30" i="8"/>
  <c r="L30" i="8"/>
  <c r="Z30" i="8" s="1"/>
  <c r="C31" i="8"/>
  <c r="D31" i="8"/>
  <c r="AN31" i="8" s="1"/>
  <c r="E31" i="8"/>
  <c r="F31" i="8"/>
  <c r="G31" i="8"/>
  <c r="H31" i="8"/>
  <c r="AQ31" i="8" s="1"/>
  <c r="I31" i="8"/>
  <c r="J31" i="8"/>
  <c r="K31" i="8"/>
  <c r="L31" i="8"/>
  <c r="Z31" i="8" s="1"/>
  <c r="C32" i="8"/>
  <c r="D32" i="8"/>
  <c r="E32" i="8"/>
  <c r="F32" i="8"/>
  <c r="G32" i="8"/>
  <c r="H32" i="8"/>
  <c r="AQ32" i="8" s="1"/>
  <c r="I32" i="8"/>
  <c r="J32" i="8"/>
  <c r="K32" i="8"/>
  <c r="L32" i="8"/>
  <c r="Z32" i="8" s="1"/>
  <c r="C33" i="8"/>
  <c r="D33" i="8"/>
  <c r="E33" i="8"/>
  <c r="F33" i="8"/>
  <c r="G33" i="8"/>
  <c r="H33" i="8"/>
  <c r="AQ33" i="8" s="1"/>
  <c r="I33" i="8"/>
  <c r="J33" i="8"/>
  <c r="K33" i="8"/>
  <c r="L33" i="8"/>
  <c r="Z33" i="8" s="1"/>
  <c r="C34" i="8"/>
  <c r="D34" i="8"/>
  <c r="E34" i="8"/>
  <c r="F34" i="8"/>
  <c r="G34" i="8"/>
  <c r="H34" i="8"/>
  <c r="AQ34" i="8" s="1"/>
  <c r="I34" i="8"/>
  <c r="J34" i="8"/>
  <c r="K34" i="8"/>
  <c r="L34" i="8"/>
  <c r="H10" i="4"/>
  <c r="J32" i="3"/>
  <c r="K32" i="3" s="1"/>
  <c r="J26" i="3"/>
  <c r="K26" i="3" s="1"/>
  <c r="J27" i="3"/>
  <c r="K27" i="3" s="1"/>
  <c r="J28" i="3"/>
  <c r="K28" i="3" s="1"/>
  <c r="J29" i="3"/>
  <c r="K29" i="3" s="1"/>
  <c r="J30" i="3"/>
  <c r="K30" i="3" s="1"/>
  <c r="J31" i="3"/>
  <c r="K31" i="3" s="1"/>
  <c r="J9" i="3"/>
  <c r="K9" i="3" s="1"/>
  <c r="J10" i="3"/>
  <c r="K10" i="3" s="1"/>
  <c r="J11" i="3"/>
  <c r="K11" i="3" s="1"/>
  <c r="J12" i="3"/>
  <c r="K12" i="3" s="1"/>
  <c r="J13" i="3"/>
  <c r="K13" i="3" s="1"/>
  <c r="J14" i="3"/>
  <c r="K14" i="3" s="1"/>
  <c r="J15" i="3"/>
  <c r="K15" i="3" s="1"/>
  <c r="J16" i="3"/>
  <c r="K16" i="3" s="1"/>
  <c r="J17" i="3"/>
  <c r="K17" i="3" s="1"/>
  <c r="J18" i="3"/>
  <c r="K18" i="3" s="1"/>
  <c r="J19" i="3"/>
  <c r="K19" i="3" s="1"/>
  <c r="J20" i="3"/>
  <c r="K20" i="3" s="1"/>
  <c r="J21" i="3"/>
  <c r="K21" i="3" s="1"/>
  <c r="J22" i="3"/>
  <c r="K22" i="3" s="1"/>
  <c r="J23" i="3"/>
  <c r="K23" i="3" s="1"/>
  <c r="J24" i="3"/>
  <c r="K24" i="3" s="1"/>
  <c r="J25" i="3"/>
  <c r="K25" i="3" s="1"/>
  <c r="J8" i="3"/>
  <c r="K8" i="3" s="1"/>
  <c r="F26" i="3"/>
  <c r="G26" i="3"/>
  <c r="F27" i="3"/>
  <c r="G27" i="3"/>
  <c r="F28" i="3"/>
  <c r="G28" i="3"/>
  <c r="F29" i="3"/>
  <c r="G29" i="3"/>
  <c r="F30" i="3"/>
  <c r="G30" i="3"/>
  <c r="F31" i="3"/>
  <c r="G31" i="3"/>
  <c r="F32" i="3"/>
  <c r="G32" i="3"/>
  <c r="F9" i="3"/>
  <c r="G9" i="3"/>
  <c r="F10" i="3"/>
  <c r="G10" i="3"/>
  <c r="F11" i="3"/>
  <c r="G11" i="3"/>
  <c r="F12" i="3"/>
  <c r="G12" i="3"/>
  <c r="F13" i="3"/>
  <c r="G13" i="3"/>
  <c r="F14" i="3"/>
  <c r="G14" i="3"/>
  <c r="F15" i="3"/>
  <c r="G15" i="3"/>
  <c r="F16" i="3"/>
  <c r="G16" i="3"/>
  <c r="F17" i="3"/>
  <c r="G17" i="3"/>
  <c r="F18" i="3"/>
  <c r="G18" i="3"/>
  <c r="F19" i="3"/>
  <c r="G19" i="3"/>
  <c r="F20" i="3"/>
  <c r="G20" i="3"/>
  <c r="F21" i="3"/>
  <c r="G21" i="3"/>
  <c r="F22" i="3"/>
  <c r="G22" i="3"/>
  <c r="F23" i="3"/>
  <c r="G23" i="3"/>
  <c r="F24" i="3"/>
  <c r="G24" i="3"/>
  <c r="F25" i="3"/>
  <c r="G25" i="3"/>
  <c r="G8" i="3"/>
  <c r="F8" i="3"/>
  <c r="AN29" i="8" l="1"/>
  <c r="AR29" i="8" s="1"/>
  <c r="X29" i="8"/>
  <c r="AC29" i="8" s="1"/>
  <c r="AD29" i="8" s="1"/>
  <c r="Q31" i="4"/>
  <c r="J34" i="14"/>
  <c r="M29" i="8"/>
  <c r="O29" i="8" s="1"/>
  <c r="P29" i="8" s="1"/>
  <c r="T34" i="4"/>
  <c r="S29" i="14"/>
  <c r="W29" i="14" s="1"/>
  <c r="O33" i="4"/>
  <c r="P33" i="4" s="1"/>
  <c r="AD30" i="4"/>
  <c r="N29" i="8"/>
  <c r="O30" i="4"/>
  <c r="P30" i="4" s="1"/>
  <c r="U30" i="14"/>
  <c r="AG32" i="8"/>
  <c r="AJ32" i="8" s="1"/>
  <c r="AK32" i="8" s="1"/>
  <c r="AM32" i="8" s="1"/>
  <c r="AE30" i="4"/>
  <c r="I33" i="14"/>
  <c r="J31" i="14"/>
  <c r="Z32" i="14"/>
  <c r="AA32" i="14" s="1"/>
  <c r="X34" i="4"/>
  <c r="Y32" i="14"/>
  <c r="R29" i="14"/>
  <c r="T33" i="4"/>
  <c r="P32" i="14"/>
  <c r="Q32" i="14" s="1"/>
  <c r="M32" i="8"/>
  <c r="N32" i="8" s="1"/>
  <c r="AG30" i="8"/>
  <c r="AH30" i="8" s="1"/>
  <c r="M34" i="14"/>
  <c r="O34" i="14" s="1"/>
  <c r="I32" i="14"/>
  <c r="Q29" i="4"/>
  <c r="AD33" i="14"/>
  <c r="AF33" i="14" s="1"/>
  <c r="M30" i="8"/>
  <c r="N30" i="8" s="1"/>
  <c r="M34" i="8"/>
  <c r="N34" i="8" s="1"/>
  <c r="X27" i="3" a="1"/>
  <c r="X27" i="3" s="1"/>
  <c r="Y34" i="4"/>
  <c r="AB34" i="4" s="1"/>
  <c r="AD33" i="4"/>
  <c r="AC33" i="4"/>
  <c r="P29" i="14"/>
  <c r="Q29" i="14" s="1"/>
  <c r="Z30" i="14"/>
  <c r="AA30" i="14" s="1"/>
  <c r="AD34" i="14"/>
  <c r="AF34" i="14" s="1"/>
  <c r="P34" i="14"/>
  <c r="Q34" i="14" s="1"/>
  <c r="AE34" i="14"/>
  <c r="X31" i="8"/>
  <c r="Y31" i="8" s="1"/>
  <c r="O31" i="4"/>
  <c r="P31" i="4" s="1"/>
  <c r="AE31" i="14"/>
  <c r="L30" i="4"/>
  <c r="M30" i="4" s="1"/>
  <c r="Y29" i="4"/>
  <c r="Z29" i="4" s="1"/>
  <c r="X34" i="8"/>
  <c r="Y34" i="8" s="1"/>
  <c r="M33" i="8"/>
  <c r="N33" i="8" s="1"/>
  <c r="AH31" i="14"/>
  <c r="AP29" i="8"/>
  <c r="Q29" i="8"/>
  <c r="R29" i="8"/>
  <c r="S34" i="8"/>
  <c r="T34" i="8" s="1"/>
  <c r="U34" i="8" s="1"/>
  <c r="V34" i="8" s="1"/>
  <c r="Y30" i="14"/>
  <c r="Y32" i="4"/>
  <c r="AB32" i="4" s="1"/>
  <c r="X32" i="4"/>
  <c r="L32" i="4"/>
  <c r="M32" i="4" s="1"/>
  <c r="L33" i="4"/>
  <c r="M33" i="4" s="1"/>
  <c r="AG29" i="8"/>
  <c r="AG34" i="8"/>
  <c r="X29" i="4"/>
  <c r="Z34" i="14"/>
  <c r="AA34" i="14" s="1"/>
  <c r="S32" i="14"/>
  <c r="X32" i="14" s="1"/>
  <c r="P31" i="14"/>
  <c r="Q31" i="14" s="1"/>
  <c r="W27" i="3" a="1"/>
  <c r="W27" i="3" s="1"/>
  <c r="Z27" i="3" a="1"/>
  <c r="Z27" i="3" s="1"/>
  <c r="W28" i="3" a="1"/>
  <c r="W28" i="3" s="1"/>
  <c r="Z28" i="3" a="1"/>
  <c r="Z28" i="3" s="1"/>
  <c r="S29" i="8"/>
  <c r="T29" i="8" s="1"/>
  <c r="U29" i="8" s="1"/>
  <c r="R32" i="14"/>
  <c r="S32" i="8"/>
  <c r="T32" i="8" s="1"/>
  <c r="U32" i="8" s="1"/>
  <c r="W32" i="8" s="1"/>
  <c r="X31" i="4"/>
  <c r="X28" i="3" a="1"/>
  <c r="X28" i="3" s="1"/>
  <c r="M31" i="14"/>
  <c r="O31" i="14" s="1"/>
  <c r="Z33" i="14"/>
  <c r="AC33" i="14" s="1"/>
  <c r="R31" i="4"/>
  <c r="U31" i="4" s="1"/>
  <c r="Y33" i="14"/>
  <c r="Z29" i="14"/>
  <c r="AC29" i="14" s="1"/>
  <c r="AF32" i="14"/>
  <c r="AH32" i="14"/>
  <c r="AF30" i="14"/>
  <c r="AH30" i="14"/>
  <c r="U33" i="14"/>
  <c r="M32" i="14"/>
  <c r="O32" i="14" s="1"/>
  <c r="Z31" i="14"/>
  <c r="S30" i="14"/>
  <c r="S33" i="14"/>
  <c r="Y31" i="14"/>
  <c r="AE29" i="14"/>
  <c r="J29" i="14"/>
  <c r="Y27" i="3" s="1" a="1"/>
  <c r="Y27" i="3" s="1"/>
  <c r="Y34" i="14"/>
  <c r="AE32" i="14"/>
  <c r="AD29" i="14"/>
  <c r="P30" i="14"/>
  <c r="Q30" i="14" s="1"/>
  <c r="P33" i="14"/>
  <c r="Q33" i="14" s="1"/>
  <c r="U31" i="14"/>
  <c r="M30" i="14"/>
  <c r="O30" i="14" s="1"/>
  <c r="U34" i="14"/>
  <c r="M33" i="14"/>
  <c r="O33" i="14" s="1"/>
  <c r="S31" i="14"/>
  <c r="AE30" i="14"/>
  <c r="J30" i="14"/>
  <c r="Y28" i="3" s="1" a="1"/>
  <c r="Y28" i="3" s="1"/>
  <c r="S34" i="14"/>
  <c r="AE32" i="4"/>
  <c r="AG32" i="4"/>
  <c r="Y33" i="4"/>
  <c r="Q32" i="4"/>
  <c r="AC31" i="4"/>
  <c r="R29" i="4"/>
  <c r="Y30" i="4"/>
  <c r="L31" i="4"/>
  <c r="O29" i="4"/>
  <c r="P29" i="4" s="1"/>
  <c r="X33" i="4"/>
  <c r="T30" i="4"/>
  <c r="L29" i="4"/>
  <c r="O32" i="4"/>
  <c r="P32" i="4" s="1"/>
  <c r="AD34" i="4"/>
  <c r="R30" i="4"/>
  <c r="AD29" i="4"/>
  <c r="R34" i="4"/>
  <c r="X30" i="4"/>
  <c r="O34" i="4"/>
  <c r="P34" i="4" s="1"/>
  <c r="R32" i="4"/>
  <c r="L34" i="4"/>
  <c r="AC34" i="4"/>
  <c r="Y31" i="4"/>
  <c r="Q30" i="4"/>
  <c r="AC29" i="4"/>
  <c r="R33" i="4"/>
  <c r="AD32" i="4"/>
  <c r="AS29" i="8"/>
  <c r="AP31" i="8"/>
  <c r="AR31" i="8"/>
  <c r="AG31" i="8"/>
  <c r="AG33" i="8"/>
  <c r="AN33" i="8"/>
  <c r="X33" i="8"/>
  <c r="AO31" i="8"/>
  <c r="AO33" i="8"/>
  <c r="S31" i="8"/>
  <c r="T31" i="8" s="1"/>
  <c r="U31" i="8" s="1"/>
  <c r="S33" i="8"/>
  <c r="T33" i="8" s="1"/>
  <c r="U33" i="8" s="1"/>
  <c r="Z34" i="8"/>
  <c r="M31" i="8"/>
  <c r="AN30" i="8"/>
  <c r="AO32" i="8"/>
  <c r="S30" i="8"/>
  <c r="T30" i="8" s="1"/>
  <c r="U30" i="8" s="1"/>
  <c r="AN32" i="8"/>
  <c r="AO34" i="8"/>
  <c r="Z29" i="8"/>
  <c r="X30" i="8"/>
  <c r="X32" i="8"/>
  <c r="AN34" i="8"/>
  <c r="O30" i="8"/>
  <c r="P30" i="8" s="1"/>
  <c r="O8" i="3"/>
  <c r="AB29" i="8" l="1"/>
  <c r="AA29" i="8"/>
  <c r="Y29" i="8"/>
  <c r="AL32" i="8"/>
  <c r="V29" i="14"/>
  <c r="X29" i="14"/>
  <c r="AJ30" i="8"/>
  <c r="AK30" i="8" s="1"/>
  <c r="AL30" i="8" s="1"/>
  <c r="AI30" i="8"/>
  <c r="AC31" i="8"/>
  <c r="AD31" i="8" s="1"/>
  <c r="AH32" i="8"/>
  <c r="AI32" i="8"/>
  <c r="AH33" i="14"/>
  <c r="AB32" i="14"/>
  <c r="AC32" i="14"/>
  <c r="AI32" i="14" s="1"/>
  <c r="Z34" i="4"/>
  <c r="AA34" i="4"/>
  <c r="O32" i="8"/>
  <c r="P32" i="8" s="1"/>
  <c r="O34" i="8"/>
  <c r="P34" i="8" s="1"/>
  <c r="R34" i="8" s="1"/>
  <c r="O33" i="8"/>
  <c r="P33" i="8" s="1"/>
  <c r="Q33" i="8" s="1"/>
  <c r="AH34" i="14"/>
  <c r="AB34" i="8"/>
  <c r="AA31" i="8"/>
  <c r="AE33" i="4"/>
  <c r="AG33" i="4"/>
  <c r="N30" i="4"/>
  <c r="AC34" i="8"/>
  <c r="AD34" i="8" s="1"/>
  <c r="AF34" i="8" s="1"/>
  <c r="AA34" i="8"/>
  <c r="V32" i="8"/>
  <c r="AB30" i="14"/>
  <c r="W34" i="8"/>
  <c r="AC30" i="14"/>
  <c r="N32" i="4"/>
  <c r="AB31" i="8"/>
  <c r="AA29" i="4"/>
  <c r="N33" i="4"/>
  <c r="AB29" i="4"/>
  <c r="AB33" i="14"/>
  <c r="AA32" i="4"/>
  <c r="Z32" i="4"/>
  <c r="AA29" i="14"/>
  <c r="AB29" i="14"/>
  <c r="V31" i="4"/>
  <c r="W31" i="4"/>
  <c r="AH34" i="8"/>
  <c r="AI34" i="8"/>
  <c r="AJ34" i="8"/>
  <c r="AK34" i="8" s="1"/>
  <c r="W29" i="8"/>
  <c r="V29" i="8"/>
  <c r="AB34" i="14"/>
  <c r="AC34" i="14"/>
  <c r="W32" i="14"/>
  <c r="AJ29" i="8"/>
  <c r="AK29" i="8" s="1"/>
  <c r="AH29" i="8"/>
  <c r="AI29" i="8"/>
  <c r="V32" i="14"/>
  <c r="AA33" i="14"/>
  <c r="V34" i="14"/>
  <c r="W34" i="14"/>
  <c r="X34" i="14"/>
  <c r="W33" i="14"/>
  <c r="V33" i="14"/>
  <c r="X33" i="14"/>
  <c r="X30" i="14"/>
  <c r="W30" i="14"/>
  <c r="V30" i="14"/>
  <c r="AC31" i="14"/>
  <c r="AB31" i="14"/>
  <c r="AA31" i="14"/>
  <c r="V31" i="14"/>
  <c r="W31" i="14"/>
  <c r="X31" i="14"/>
  <c r="AH29" i="14"/>
  <c r="AF29" i="14"/>
  <c r="Z31" i="4"/>
  <c r="AA31" i="4"/>
  <c r="AB31" i="4"/>
  <c r="W30" i="4"/>
  <c r="U30" i="4"/>
  <c r="V30" i="4"/>
  <c r="U33" i="4"/>
  <c r="V33" i="4"/>
  <c r="W33" i="4"/>
  <c r="M31" i="4"/>
  <c r="N31" i="4"/>
  <c r="Z30" i="4"/>
  <c r="AA30" i="4"/>
  <c r="AB30" i="4"/>
  <c r="AE29" i="4"/>
  <c r="AG29" i="4"/>
  <c r="U29" i="4"/>
  <c r="V29" i="4"/>
  <c r="W29" i="4"/>
  <c r="AE31" i="4"/>
  <c r="AG31" i="4"/>
  <c r="AE34" i="4"/>
  <c r="AG34" i="4"/>
  <c r="N34" i="4"/>
  <c r="M34" i="4"/>
  <c r="Z33" i="4"/>
  <c r="AB33" i="4"/>
  <c r="AA33" i="4"/>
  <c r="U32" i="4"/>
  <c r="V32" i="4"/>
  <c r="W32" i="4"/>
  <c r="V34" i="4"/>
  <c r="W34" i="4"/>
  <c r="U34" i="4"/>
  <c r="M29" i="4"/>
  <c r="N29" i="4"/>
  <c r="AB30" i="8"/>
  <c r="AC30" i="8"/>
  <c r="AD30" i="8" s="1"/>
  <c r="AA30" i="8"/>
  <c r="Y30" i="8"/>
  <c r="AF31" i="8"/>
  <c r="AE31" i="8"/>
  <c r="AR32" i="8"/>
  <c r="AP32" i="8"/>
  <c r="W30" i="8"/>
  <c r="V30" i="8"/>
  <c r="AT29" i="8"/>
  <c r="AU29" i="8"/>
  <c r="AR30" i="8"/>
  <c r="AP30" i="8"/>
  <c r="N31" i="8"/>
  <c r="O31" i="8"/>
  <c r="P31" i="8" s="1"/>
  <c r="AF29" i="8"/>
  <c r="AE29" i="8"/>
  <c r="W33" i="8"/>
  <c r="V33" i="8"/>
  <c r="W31" i="8"/>
  <c r="V31" i="8"/>
  <c r="Q30" i="8"/>
  <c r="R30" i="8"/>
  <c r="AA33" i="8"/>
  <c r="AB33" i="8"/>
  <c r="AC33" i="8"/>
  <c r="AD33" i="8" s="1"/>
  <c r="Y33" i="8"/>
  <c r="AR33" i="8"/>
  <c r="AP33" i="8"/>
  <c r="AH33" i="8"/>
  <c r="AI33" i="8"/>
  <c r="AJ33" i="8"/>
  <c r="AK33" i="8" s="1"/>
  <c r="AP34" i="8"/>
  <c r="AR34" i="8"/>
  <c r="AH31" i="8"/>
  <c r="AI31" i="8"/>
  <c r="AJ31" i="8"/>
  <c r="AK31" i="8" s="1"/>
  <c r="AC32" i="8"/>
  <c r="AD32" i="8" s="1"/>
  <c r="AB32" i="8"/>
  <c r="Y32" i="8"/>
  <c r="AA32" i="8"/>
  <c r="AS31" i="8"/>
  <c r="O9" i="3"/>
  <c r="O10" i="3"/>
  <c r="O11" i="3"/>
  <c r="O12" i="3"/>
  <c r="O13" i="3"/>
  <c r="O14" i="3"/>
  <c r="O15" i="3"/>
  <c r="O16" i="3"/>
  <c r="O17" i="3"/>
  <c r="O18" i="3"/>
  <c r="O19" i="3"/>
  <c r="O20" i="3"/>
  <c r="O21" i="3"/>
  <c r="O22" i="3"/>
  <c r="O23" i="3"/>
  <c r="O24" i="3"/>
  <c r="O25" i="3"/>
  <c r="O26" i="3"/>
  <c r="O27" i="3"/>
  <c r="O28" i="3"/>
  <c r="O29" i="3"/>
  <c r="O30" i="3"/>
  <c r="O31" i="3"/>
  <c r="O32" i="3"/>
  <c r="AM30" i="8" l="1"/>
  <c r="Q34" i="8"/>
  <c r="AI29" i="14"/>
  <c r="R33" i="8"/>
  <c r="AI33" i="14"/>
  <c r="R32" i="8"/>
  <c r="Q32" i="8"/>
  <c r="AH32" i="4"/>
  <c r="AE34" i="8"/>
  <c r="AI30" i="14"/>
  <c r="AV29" i="8"/>
  <c r="AI34" i="14"/>
  <c r="AL29" i="8"/>
  <c r="AW29" i="8" s="1"/>
  <c r="AM29" i="8"/>
  <c r="AX29" i="8" s="1"/>
  <c r="AL34" i="8"/>
  <c r="AM34" i="8"/>
  <c r="AI31" i="14"/>
  <c r="AH33" i="4"/>
  <c r="AH30" i="4"/>
  <c r="AH34" i="4"/>
  <c r="AH31" i="4"/>
  <c r="AH29" i="4"/>
  <c r="AL33" i="8"/>
  <c r="AM33" i="8"/>
  <c r="R31" i="8"/>
  <c r="Q31" i="8"/>
  <c r="AV33" i="8"/>
  <c r="AS33" i="8"/>
  <c r="AV30" i="8"/>
  <c r="AS30" i="8"/>
  <c r="AV31" i="8"/>
  <c r="AT31" i="8"/>
  <c r="AU31" i="8"/>
  <c r="AF33" i="8"/>
  <c r="AE33" i="8"/>
  <c r="AV32" i="8"/>
  <c r="AS32" i="8"/>
  <c r="AF32" i="8"/>
  <c r="AE32" i="8"/>
  <c r="AL31" i="8"/>
  <c r="AM31" i="8"/>
  <c r="AS34" i="8"/>
  <c r="AV34" i="8"/>
  <c r="AF30" i="8"/>
  <c r="AE30" i="8"/>
  <c r="N24" i="3"/>
  <c r="L11" i="8"/>
  <c r="AD35" i="4"/>
  <c r="AY29" i="8" l="1"/>
  <c r="AT32" i="8"/>
  <c r="AW32" i="8" s="1"/>
  <c r="AU32" i="8"/>
  <c r="AX32" i="8" s="1"/>
  <c r="AX31" i="8"/>
  <c r="AW31" i="8"/>
  <c r="AU30" i="8"/>
  <c r="AX30" i="8" s="1"/>
  <c r="AT30" i="8"/>
  <c r="AW30" i="8" s="1"/>
  <c r="AU33" i="8"/>
  <c r="AX33" i="8" s="1"/>
  <c r="AT33" i="8"/>
  <c r="AW33" i="8" s="1"/>
  <c r="AT34" i="8"/>
  <c r="AW34" i="8" s="1"/>
  <c r="AU34" i="8"/>
  <c r="AX34" i="8" s="1"/>
  <c r="M35" i="4"/>
  <c r="M36" i="4"/>
  <c r="M37" i="4"/>
  <c r="AY33" i="8" l="1"/>
  <c r="AY30" i="8"/>
  <c r="AY34" i="8"/>
  <c r="AY31" i="8"/>
  <c r="AY32" i="8"/>
  <c r="E10" i="14"/>
  <c r="K10" i="14" s="1"/>
  <c r="J10" i="8"/>
  <c r="N9" i="3" l="1"/>
  <c r="N10" i="3"/>
  <c r="N11" i="3"/>
  <c r="N12" i="3"/>
  <c r="N13" i="3"/>
  <c r="N14" i="3"/>
  <c r="N15" i="3"/>
  <c r="N16" i="3"/>
  <c r="N17" i="3"/>
  <c r="N18" i="3"/>
  <c r="N19" i="3"/>
  <c r="N20" i="3"/>
  <c r="N21" i="3"/>
  <c r="N22" i="3"/>
  <c r="N23" i="3"/>
  <c r="N25" i="3"/>
  <c r="N26" i="3"/>
  <c r="N27" i="3"/>
  <c r="N28" i="3"/>
  <c r="N29" i="3"/>
  <c r="N30" i="3"/>
  <c r="N31" i="3"/>
  <c r="N32" i="3"/>
  <c r="N8" i="3"/>
  <c r="C40" i="12"/>
  <c r="B215" i="10"/>
  <c r="D215" i="10" s="1"/>
  <c r="B219" i="10"/>
  <c r="D219" i="10" s="1"/>
  <c r="B223" i="10"/>
  <c r="D223" i="10" s="1"/>
  <c r="B227" i="10"/>
  <c r="E227" i="10" s="1"/>
  <c r="C330" i="13"/>
  <c r="D330" i="13"/>
  <c r="E330" i="13" s="1"/>
  <c r="F330" i="13"/>
  <c r="C331" i="13"/>
  <c r="D331" i="13"/>
  <c r="F331" i="13"/>
  <c r="C332" i="13"/>
  <c r="D332" i="13"/>
  <c r="F332" i="13"/>
  <c r="C333" i="13"/>
  <c r="D333" i="13"/>
  <c r="F333" i="13"/>
  <c r="C318" i="13"/>
  <c r="D318" i="13"/>
  <c r="F318" i="13"/>
  <c r="C319" i="13"/>
  <c r="D319" i="13"/>
  <c r="F319" i="13"/>
  <c r="C320" i="13"/>
  <c r="D320" i="13"/>
  <c r="F320" i="13"/>
  <c r="C321" i="13"/>
  <c r="D321" i="13"/>
  <c r="F321" i="13"/>
  <c r="C342" i="13"/>
  <c r="D342" i="13"/>
  <c r="F342" i="13"/>
  <c r="C343" i="13"/>
  <c r="D343" i="13"/>
  <c r="F343" i="13"/>
  <c r="C344" i="13"/>
  <c r="D344" i="13"/>
  <c r="F344" i="13"/>
  <c r="C345" i="13"/>
  <c r="D345" i="13"/>
  <c r="E345" i="13" s="1"/>
  <c r="F345" i="13"/>
  <c r="C354" i="13"/>
  <c r="D354" i="13"/>
  <c r="F354" i="13"/>
  <c r="C355" i="13"/>
  <c r="D355" i="13"/>
  <c r="F355" i="13"/>
  <c r="C356" i="13"/>
  <c r="D356" i="13"/>
  <c r="F356" i="13"/>
  <c r="C357" i="13"/>
  <c r="D357" i="13"/>
  <c r="F357" i="13"/>
  <c r="C378" i="13"/>
  <c r="D378" i="13"/>
  <c r="F378" i="13"/>
  <c r="C379" i="13"/>
  <c r="D379" i="13"/>
  <c r="F379" i="13"/>
  <c r="C380" i="13"/>
  <c r="D380" i="13"/>
  <c r="E380" i="13" s="1"/>
  <c r="F380" i="13"/>
  <c r="C381" i="13"/>
  <c r="D381" i="13"/>
  <c r="E381" i="13"/>
  <c r="F381" i="13"/>
  <c r="C366" i="13"/>
  <c r="D366" i="13"/>
  <c r="F366" i="13"/>
  <c r="C367" i="13"/>
  <c r="D367" i="13"/>
  <c r="F367" i="13"/>
  <c r="C368" i="13"/>
  <c r="D368" i="13"/>
  <c r="F368" i="13"/>
  <c r="C369" i="13"/>
  <c r="D369" i="13"/>
  <c r="F369" i="13"/>
  <c r="C402" i="13"/>
  <c r="D402" i="13"/>
  <c r="F402" i="13"/>
  <c r="C403" i="13"/>
  <c r="D403" i="13"/>
  <c r="F403" i="13"/>
  <c r="C404" i="13"/>
  <c r="D404" i="13"/>
  <c r="F404" i="13"/>
  <c r="C405" i="13"/>
  <c r="D405" i="13"/>
  <c r="F405" i="13"/>
  <c r="C390" i="13"/>
  <c r="D390" i="13"/>
  <c r="F390" i="13"/>
  <c r="C391" i="13"/>
  <c r="D391" i="13"/>
  <c r="F391" i="13"/>
  <c r="C392" i="13"/>
  <c r="D392" i="13"/>
  <c r="F392" i="13"/>
  <c r="C393" i="13"/>
  <c r="D393" i="13"/>
  <c r="F393" i="13"/>
  <c r="C414" i="13"/>
  <c r="D414" i="13"/>
  <c r="F414" i="13"/>
  <c r="C415" i="13"/>
  <c r="D415" i="13"/>
  <c r="F415" i="13"/>
  <c r="C416" i="13"/>
  <c r="D416" i="13"/>
  <c r="F416" i="13"/>
  <c r="C417" i="13"/>
  <c r="D417" i="13"/>
  <c r="F417" i="13"/>
  <c r="C377" i="15"/>
  <c r="D377" i="15"/>
  <c r="F377" i="15"/>
  <c r="C378" i="15"/>
  <c r="D378" i="15"/>
  <c r="F378" i="15"/>
  <c r="C379" i="15"/>
  <c r="D379" i="15"/>
  <c r="F379" i="15"/>
  <c r="C380" i="15"/>
  <c r="D380" i="15"/>
  <c r="F380" i="15"/>
  <c r="C365" i="15"/>
  <c r="D365" i="15"/>
  <c r="F365" i="15"/>
  <c r="C366" i="15"/>
  <c r="D366" i="15"/>
  <c r="F366" i="15"/>
  <c r="C367" i="15"/>
  <c r="D367" i="15"/>
  <c r="F367" i="15"/>
  <c r="C368" i="15"/>
  <c r="D368" i="15"/>
  <c r="F368" i="15"/>
  <c r="C353" i="15"/>
  <c r="D353" i="15"/>
  <c r="F353" i="15"/>
  <c r="C354" i="15"/>
  <c r="D354" i="15"/>
  <c r="F354" i="15"/>
  <c r="C355" i="15"/>
  <c r="D355" i="15"/>
  <c r="F355" i="15"/>
  <c r="C356" i="15"/>
  <c r="D356" i="15"/>
  <c r="F356" i="15"/>
  <c r="C341" i="15"/>
  <c r="D341" i="15"/>
  <c r="F341" i="15"/>
  <c r="C342" i="15"/>
  <c r="D342" i="15"/>
  <c r="F342" i="15"/>
  <c r="C343" i="15"/>
  <c r="D343" i="15"/>
  <c r="F343" i="15"/>
  <c r="C344" i="15"/>
  <c r="D344" i="15"/>
  <c r="F344" i="15"/>
  <c r="C329" i="15"/>
  <c r="D329" i="15"/>
  <c r="F329" i="15"/>
  <c r="C330" i="15"/>
  <c r="D330" i="15"/>
  <c r="F330" i="15"/>
  <c r="C331" i="15"/>
  <c r="D331" i="15"/>
  <c r="F331" i="15"/>
  <c r="C332" i="15"/>
  <c r="D332" i="15"/>
  <c r="F332" i="15"/>
  <c r="C317" i="15"/>
  <c r="D317" i="15"/>
  <c r="F317" i="15"/>
  <c r="C318" i="15"/>
  <c r="D318" i="15"/>
  <c r="F318" i="15"/>
  <c r="C319" i="15"/>
  <c r="D319" i="15"/>
  <c r="F319" i="15"/>
  <c r="C320" i="15"/>
  <c r="D320" i="15"/>
  <c r="F320" i="15"/>
  <c r="C413" i="15"/>
  <c r="D413" i="15"/>
  <c r="F413" i="15"/>
  <c r="C414" i="15"/>
  <c r="D414" i="15"/>
  <c r="F414" i="15"/>
  <c r="C415" i="15"/>
  <c r="D415" i="15"/>
  <c r="F415" i="15"/>
  <c r="C416" i="15"/>
  <c r="D416" i="15"/>
  <c r="F416" i="15"/>
  <c r="C401" i="15"/>
  <c r="D401" i="15"/>
  <c r="E401" i="15"/>
  <c r="F401" i="15"/>
  <c r="C402" i="15"/>
  <c r="D402" i="15"/>
  <c r="F402" i="15"/>
  <c r="C403" i="15"/>
  <c r="D403" i="15"/>
  <c r="F403" i="15"/>
  <c r="C404" i="15"/>
  <c r="D404" i="15"/>
  <c r="F404" i="15"/>
  <c r="C389" i="15"/>
  <c r="D389" i="15"/>
  <c r="F389" i="15"/>
  <c r="C390" i="15"/>
  <c r="D390" i="15"/>
  <c r="F390" i="15"/>
  <c r="C391" i="15"/>
  <c r="D391" i="15"/>
  <c r="F391" i="15"/>
  <c r="C392" i="15"/>
  <c r="D392" i="15"/>
  <c r="F392" i="15"/>
  <c r="E332" i="13" l="1"/>
  <c r="G345" i="13"/>
  <c r="E402" i="13"/>
  <c r="E321" i="13"/>
  <c r="E320" i="13"/>
  <c r="E392" i="13"/>
  <c r="E318" i="13"/>
  <c r="E333" i="13"/>
  <c r="G333" i="13" s="1"/>
  <c r="G320" i="13"/>
  <c r="E223" i="10"/>
  <c r="F223" i="10" s="1"/>
  <c r="E215" i="10"/>
  <c r="F215" i="10"/>
  <c r="G215" i="10" s="1"/>
  <c r="G318" i="13"/>
  <c r="G330" i="13"/>
  <c r="G321" i="13"/>
  <c r="G332" i="13"/>
  <c r="G401" i="15"/>
  <c r="G216" i="10"/>
  <c r="C350" i="10" s="1"/>
  <c r="E365" i="15"/>
  <c r="G365" i="15" s="1"/>
  <c r="E219" i="10"/>
  <c r="F219" i="10" s="1"/>
  <c r="D227" i="10"/>
  <c r="F227" i="10" s="1"/>
  <c r="E343" i="15"/>
  <c r="G343" i="15" s="1"/>
  <c r="E342" i="15"/>
  <c r="G342" i="15" s="1"/>
  <c r="E413" i="15"/>
  <c r="G413" i="15" s="1"/>
  <c r="E329" i="15"/>
  <c r="G329" i="15" s="1"/>
  <c r="E367" i="15"/>
  <c r="G367" i="15" s="1"/>
  <c r="E402" i="15"/>
  <c r="G402" i="15" s="1"/>
  <c r="G381" i="13"/>
  <c r="E380" i="15"/>
  <c r="G380" i="15" s="1"/>
  <c r="E330" i="15"/>
  <c r="G330" i="15" s="1"/>
  <c r="E344" i="15"/>
  <c r="G344" i="15" s="1"/>
  <c r="E331" i="13"/>
  <c r="G331" i="13" s="1"/>
  <c r="E318" i="15"/>
  <c r="G318" i="15" s="1"/>
  <c r="E378" i="15"/>
  <c r="G378" i="15" s="1"/>
  <c r="E353" i="15"/>
  <c r="G353" i="15" s="1"/>
  <c r="E368" i="15"/>
  <c r="G368" i="15" s="1"/>
  <c r="E319" i="13"/>
  <c r="G319" i="13" s="1"/>
  <c r="E317" i="15"/>
  <c r="G317" i="15" s="1"/>
  <c r="E377" i="15"/>
  <c r="G377" i="15" s="1"/>
  <c r="E344" i="13"/>
  <c r="G344" i="13" s="1"/>
  <c r="E403" i="15"/>
  <c r="G403" i="15" s="1"/>
  <c r="E355" i="15"/>
  <c r="G355" i="15" s="1"/>
  <c r="E354" i="15"/>
  <c r="G354" i="15" s="1"/>
  <c r="E343" i="13"/>
  <c r="G343" i="13" s="1"/>
  <c r="E341" i="15"/>
  <c r="G341" i="15" s="1"/>
  <c r="E357" i="13"/>
  <c r="G357" i="13" s="1"/>
  <c r="E366" i="15"/>
  <c r="G366" i="15" s="1"/>
  <c r="E356" i="15"/>
  <c r="G356" i="15" s="1"/>
  <c r="E356" i="13"/>
  <c r="G356" i="13" s="1"/>
  <c r="E354" i="13"/>
  <c r="G354" i="13" s="1"/>
  <c r="E368" i="13"/>
  <c r="G368" i="13" s="1"/>
  <c r="E378" i="13"/>
  <c r="G378" i="13" s="1"/>
  <c r="E379" i="13"/>
  <c r="G379" i="13" s="1"/>
  <c r="G402" i="13"/>
  <c r="E369" i="13"/>
  <c r="G369" i="13" s="1"/>
  <c r="E342" i="13"/>
  <c r="G342" i="13" s="1"/>
  <c r="E390" i="13"/>
  <c r="G390" i="13" s="1"/>
  <c r="E366" i="13"/>
  <c r="G366" i="13" s="1"/>
  <c r="G380" i="13"/>
  <c r="E355" i="13"/>
  <c r="G355" i="13" s="1"/>
  <c r="E367" i="13"/>
  <c r="G367" i="13" s="1"/>
  <c r="E393" i="13"/>
  <c r="G393" i="13" s="1"/>
  <c r="E403" i="13"/>
  <c r="G403" i="13" s="1"/>
  <c r="E391" i="13"/>
  <c r="G391" i="13" s="1"/>
  <c r="E319" i="15"/>
  <c r="G319" i="15" s="1"/>
  <c r="E332" i="15"/>
  <c r="G332" i="15" s="1"/>
  <c r="E404" i="13"/>
  <c r="G404" i="13" s="1"/>
  <c r="E405" i="13"/>
  <c r="G405" i="13" s="1"/>
  <c r="G392" i="13"/>
  <c r="E417" i="13"/>
  <c r="G417" i="13" s="1"/>
  <c r="E416" i="13"/>
  <c r="G416" i="13" s="1"/>
  <c r="E415" i="13"/>
  <c r="G415" i="13" s="1"/>
  <c r="E331" i="15"/>
  <c r="G331" i="15" s="1"/>
  <c r="E414" i="13"/>
  <c r="G414" i="13" s="1"/>
  <c r="E320" i="15"/>
  <c r="G320" i="15" s="1"/>
  <c r="E379" i="15"/>
  <c r="G379" i="15" s="1"/>
  <c r="E391" i="15"/>
  <c r="G391" i="15" s="1"/>
  <c r="E416" i="15"/>
  <c r="G416" i="15" s="1"/>
  <c r="E415" i="15"/>
  <c r="G415" i="15" s="1"/>
  <c r="E404" i="15"/>
  <c r="G404" i="15" s="1"/>
  <c r="E414" i="15"/>
  <c r="G414" i="15" s="1"/>
  <c r="E392" i="15"/>
  <c r="G392" i="15" s="1"/>
  <c r="E390" i="15"/>
  <c r="G390" i="15" s="1"/>
  <c r="E389" i="15"/>
  <c r="G389" i="15" s="1"/>
  <c r="F10" i="8"/>
  <c r="I57" i="18"/>
  <c r="J57" i="18"/>
  <c r="K57" i="18"/>
  <c r="O57" i="18"/>
  <c r="P57" i="18" s="1"/>
  <c r="I58" i="18"/>
  <c r="J58" i="18"/>
  <c r="K58" i="18"/>
  <c r="O58" i="18"/>
  <c r="P58" i="18" s="1"/>
  <c r="I59" i="18"/>
  <c r="J59" i="18"/>
  <c r="K59" i="18"/>
  <c r="O59" i="18"/>
  <c r="P59" i="18" s="1"/>
  <c r="F11" i="8"/>
  <c r="C28" i="8"/>
  <c r="C27" i="8"/>
  <c r="C26" i="8"/>
  <c r="C25" i="8"/>
  <c r="C24" i="8"/>
  <c r="C23" i="8"/>
  <c r="C22" i="8"/>
  <c r="C21" i="8"/>
  <c r="C20" i="8"/>
  <c r="C19" i="8"/>
  <c r="C18" i="8"/>
  <c r="C17" i="8"/>
  <c r="C16" i="8"/>
  <c r="C15" i="8"/>
  <c r="C14" i="8"/>
  <c r="C13" i="8"/>
  <c r="C12" i="8"/>
  <c r="C11" i="8"/>
  <c r="C10" i="8"/>
  <c r="B11" i="4"/>
  <c r="B12" i="4"/>
  <c r="B13" i="4"/>
  <c r="B14" i="4"/>
  <c r="B15" i="4"/>
  <c r="B16" i="4"/>
  <c r="B17" i="4"/>
  <c r="B18" i="4"/>
  <c r="B19" i="4"/>
  <c r="B20" i="4"/>
  <c r="B21" i="4"/>
  <c r="B22" i="4"/>
  <c r="B23" i="4"/>
  <c r="B24" i="4"/>
  <c r="B25" i="4"/>
  <c r="B26" i="4"/>
  <c r="B27" i="4"/>
  <c r="B28" i="4"/>
  <c r="B32" i="4"/>
  <c r="B33" i="4"/>
  <c r="B34" i="4"/>
  <c r="B10" i="4"/>
  <c r="B11" i="14"/>
  <c r="B12" i="14"/>
  <c r="B13" i="14"/>
  <c r="B14" i="14"/>
  <c r="B15" i="14"/>
  <c r="B16" i="14"/>
  <c r="B17" i="14"/>
  <c r="B18" i="14"/>
  <c r="B19" i="14"/>
  <c r="B20" i="14"/>
  <c r="B21" i="14"/>
  <c r="B22" i="14"/>
  <c r="B23" i="14"/>
  <c r="B24" i="14"/>
  <c r="B25" i="14"/>
  <c r="B26" i="14"/>
  <c r="B27" i="14"/>
  <c r="B28" i="14"/>
  <c r="B10" i="14"/>
  <c r="D10" i="8"/>
  <c r="C300" i="15"/>
  <c r="D300" i="15"/>
  <c r="F300" i="15"/>
  <c r="C301" i="15"/>
  <c r="D301" i="15"/>
  <c r="F301" i="15"/>
  <c r="C302" i="15"/>
  <c r="D302" i="15"/>
  <c r="F302" i="15"/>
  <c r="C303" i="15"/>
  <c r="D303" i="15"/>
  <c r="F303" i="15"/>
  <c r="C304" i="15"/>
  <c r="D304" i="15"/>
  <c r="F304" i="15"/>
  <c r="C305" i="15"/>
  <c r="D305" i="15"/>
  <c r="F305" i="15"/>
  <c r="C306" i="15"/>
  <c r="D306" i="15"/>
  <c r="F306" i="15"/>
  <c r="C307" i="15"/>
  <c r="D307" i="15"/>
  <c r="F307" i="15"/>
  <c r="C308" i="15"/>
  <c r="D308" i="15"/>
  <c r="F308" i="15"/>
  <c r="C309" i="15"/>
  <c r="D309" i="15"/>
  <c r="F309" i="15"/>
  <c r="C273" i="15"/>
  <c r="D273" i="15"/>
  <c r="F273" i="15"/>
  <c r="C274" i="15"/>
  <c r="D274" i="15"/>
  <c r="F274" i="15"/>
  <c r="C275" i="15"/>
  <c r="D275" i="15"/>
  <c r="F275" i="15"/>
  <c r="C276" i="15"/>
  <c r="D276" i="15"/>
  <c r="F276" i="15"/>
  <c r="C277" i="15"/>
  <c r="D277" i="15"/>
  <c r="F277" i="15"/>
  <c r="C278" i="15"/>
  <c r="D278" i="15"/>
  <c r="F278" i="15"/>
  <c r="C279" i="15"/>
  <c r="D279" i="15"/>
  <c r="F279" i="15"/>
  <c r="C280" i="15"/>
  <c r="D280" i="15"/>
  <c r="F280" i="15"/>
  <c r="C281" i="15"/>
  <c r="D281" i="15"/>
  <c r="F281" i="15"/>
  <c r="C282" i="15"/>
  <c r="D282" i="15"/>
  <c r="F282" i="15"/>
  <c r="C246" i="15"/>
  <c r="D246" i="15"/>
  <c r="F246" i="15"/>
  <c r="C247" i="15"/>
  <c r="D247" i="15"/>
  <c r="F247" i="15"/>
  <c r="C219" i="15"/>
  <c r="D219" i="15"/>
  <c r="F219" i="15"/>
  <c r="C220" i="15"/>
  <c r="D220" i="15"/>
  <c r="F220" i="15"/>
  <c r="C221" i="15"/>
  <c r="D221" i="15"/>
  <c r="F221" i="15"/>
  <c r="C222" i="15"/>
  <c r="D222" i="15"/>
  <c r="F222" i="15"/>
  <c r="C223" i="15"/>
  <c r="D223" i="15"/>
  <c r="F223" i="15"/>
  <c r="C224" i="15"/>
  <c r="D224" i="15"/>
  <c r="F224" i="15"/>
  <c r="C225" i="15"/>
  <c r="D225" i="15"/>
  <c r="F225" i="15"/>
  <c r="C226" i="15"/>
  <c r="D226" i="15"/>
  <c r="F226" i="15"/>
  <c r="C227" i="15"/>
  <c r="D227" i="15"/>
  <c r="F227" i="15"/>
  <c r="C191" i="15"/>
  <c r="D191" i="15"/>
  <c r="F191" i="15"/>
  <c r="C192" i="15"/>
  <c r="D192" i="15"/>
  <c r="F192" i="15"/>
  <c r="C193" i="15"/>
  <c r="D193" i="15"/>
  <c r="F193" i="15"/>
  <c r="C194" i="15"/>
  <c r="D194" i="15"/>
  <c r="F194" i="15"/>
  <c r="C195" i="15"/>
  <c r="D195" i="15"/>
  <c r="F195" i="15"/>
  <c r="C196" i="15"/>
  <c r="D196" i="15"/>
  <c r="F196" i="15"/>
  <c r="C197" i="15"/>
  <c r="D197" i="15"/>
  <c r="F197" i="15"/>
  <c r="C198" i="15"/>
  <c r="D198" i="15"/>
  <c r="F198" i="15"/>
  <c r="C199" i="15"/>
  <c r="D199" i="15"/>
  <c r="F199" i="15"/>
  <c r="C200" i="15"/>
  <c r="D200" i="15"/>
  <c r="F200" i="15"/>
  <c r="C165" i="15"/>
  <c r="D165" i="15"/>
  <c r="F165" i="15"/>
  <c r="C166" i="15"/>
  <c r="D166" i="15"/>
  <c r="F166" i="15"/>
  <c r="C167" i="15"/>
  <c r="D167" i="15"/>
  <c r="F167" i="15"/>
  <c r="C168" i="15"/>
  <c r="D168" i="15"/>
  <c r="F168" i="15"/>
  <c r="C169" i="15"/>
  <c r="D169" i="15"/>
  <c r="F169" i="15"/>
  <c r="C170" i="15"/>
  <c r="D170" i="15"/>
  <c r="F170" i="15"/>
  <c r="C171" i="15"/>
  <c r="D171" i="15"/>
  <c r="F171" i="15"/>
  <c r="C172" i="15"/>
  <c r="D172" i="15"/>
  <c r="F172" i="15"/>
  <c r="C173" i="15"/>
  <c r="D173" i="15"/>
  <c r="F173" i="15"/>
  <c r="C138" i="15"/>
  <c r="D138" i="15"/>
  <c r="F138" i="15"/>
  <c r="C139" i="15"/>
  <c r="D139" i="15"/>
  <c r="F139" i="15"/>
  <c r="C140" i="15"/>
  <c r="D140" i="15"/>
  <c r="F140" i="15"/>
  <c r="C141" i="15"/>
  <c r="D141" i="15"/>
  <c r="F141" i="15"/>
  <c r="C142" i="15"/>
  <c r="D142" i="15"/>
  <c r="F142" i="15"/>
  <c r="C143" i="15"/>
  <c r="D143" i="15"/>
  <c r="F143" i="15"/>
  <c r="C144" i="15"/>
  <c r="D144" i="15"/>
  <c r="F144" i="15"/>
  <c r="C145" i="15"/>
  <c r="D145" i="15"/>
  <c r="F145" i="15"/>
  <c r="C146" i="15"/>
  <c r="D146" i="15"/>
  <c r="F146" i="15"/>
  <c r="C147" i="15"/>
  <c r="D147" i="15"/>
  <c r="F147" i="15"/>
  <c r="C111" i="15"/>
  <c r="D111" i="15"/>
  <c r="F111" i="15"/>
  <c r="C112" i="15"/>
  <c r="D112" i="15"/>
  <c r="F112" i="15"/>
  <c r="C84" i="15"/>
  <c r="D84" i="15"/>
  <c r="F84" i="15"/>
  <c r="C85" i="15"/>
  <c r="D85" i="15"/>
  <c r="F85" i="15"/>
  <c r="C86" i="15"/>
  <c r="D86" i="15"/>
  <c r="F86" i="15"/>
  <c r="C87" i="15"/>
  <c r="D87" i="15"/>
  <c r="F87" i="15"/>
  <c r="C88" i="15"/>
  <c r="D88" i="15"/>
  <c r="F88" i="15"/>
  <c r="C89" i="15"/>
  <c r="D89" i="15"/>
  <c r="F89" i="15"/>
  <c r="C90" i="15"/>
  <c r="D90" i="15"/>
  <c r="F90" i="15"/>
  <c r="C91" i="15"/>
  <c r="D91" i="15"/>
  <c r="F91" i="15"/>
  <c r="C92" i="15"/>
  <c r="D92" i="15"/>
  <c r="F92" i="15"/>
  <c r="C93" i="15"/>
  <c r="D93" i="15"/>
  <c r="F93" i="15"/>
  <c r="C301" i="13"/>
  <c r="D301" i="13"/>
  <c r="F301" i="13"/>
  <c r="C274" i="13"/>
  <c r="D274" i="13"/>
  <c r="F274" i="13"/>
  <c r="C247" i="13"/>
  <c r="D247" i="13"/>
  <c r="F247" i="13"/>
  <c r="C220" i="13"/>
  <c r="D220" i="13"/>
  <c r="F220" i="13"/>
  <c r="C193" i="13"/>
  <c r="D193" i="13"/>
  <c r="F193" i="13"/>
  <c r="C166" i="13"/>
  <c r="D166" i="13"/>
  <c r="F166" i="13"/>
  <c r="C139" i="13"/>
  <c r="D139" i="13"/>
  <c r="F139" i="13"/>
  <c r="C112" i="13"/>
  <c r="D112" i="13"/>
  <c r="F112" i="13"/>
  <c r="C84" i="13"/>
  <c r="D84" i="13"/>
  <c r="F84" i="13"/>
  <c r="B174" i="10"/>
  <c r="E174" i="10" s="1"/>
  <c r="B169" i="10"/>
  <c r="E169" i="10" s="1"/>
  <c r="B235" i="10"/>
  <c r="E235" i="10" s="1"/>
  <c r="B231" i="10"/>
  <c r="E231" i="10" s="1"/>
  <c r="B199" i="10"/>
  <c r="E199" i="10" s="1"/>
  <c r="B194" i="10"/>
  <c r="E194" i="10" s="1"/>
  <c r="B189" i="10"/>
  <c r="E189" i="10" s="1"/>
  <c r="B184" i="10"/>
  <c r="E184" i="10" s="1"/>
  <c r="B179" i="10"/>
  <c r="E179" i="10" s="1"/>
  <c r="B164" i="10"/>
  <c r="E164" i="10" s="1"/>
  <c r="B159" i="10"/>
  <c r="E159" i="10" s="1"/>
  <c r="B154" i="10"/>
  <c r="E154" i="10" s="1"/>
  <c r="B149" i="10"/>
  <c r="D149" i="10" s="1"/>
  <c r="B144" i="10"/>
  <c r="D144" i="10" s="1"/>
  <c r="B139" i="10"/>
  <c r="D139" i="10" s="1"/>
  <c r="F421" i="13"/>
  <c r="F420" i="13"/>
  <c r="F419" i="13"/>
  <c r="F418" i="13"/>
  <c r="F409" i="13"/>
  <c r="F408" i="13"/>
  <c r="F407" i="13"/>
  <c r="F406" i="13"/>
  <c r="F397" i="13"/>
  <c r="F396" i="13"/>
  <c r="F395" i="13"/>
  <c r="F394" i="13"/>
  <c r="F385" i="13"/>
  <c r="F384" i="13"/>
  <c r="F383" i="13"/>
  <c r="F382" i="13"/>
  <c r="F373" i="13"/>
  <c r="F372" i="13"/>
  <c r="F371" i="13"/>
  <c r="F370" i="13"/>
  <c r="F361" i="13"/>
  <c r="F360" i="13"/>
  <c r="F359" i="13"/>
  <c r="F358" i="13"/>
  <c r="F349" i="13"/>
  <c r="F348" i="13"/>
  <c r="F347" i="13"/>
  <c r="F346" i="13"/>
  <c r="F337" i="13"/>
  <c r="F336" i="13"/>
  <c r="F335" i="13"/>
  <c r="F334" i="13"/>
  <c r="F325" i="13"/>
  <c r="F324" i="13"/>
  <c r="F323" i="13"/>
  <c r="F322" i="13"/>
  <c r="F310" i="13"/>
  <c r="F309" i="13"/>
  <c r="F308" i="13"/>
  <c r="F307" i="13"/>
  <c r="F306" i="13"/>
  <c r="F305" i="13"/>
  <c r="F304" i="13"/>
  <c r="F303" i="13"/>
  <c r="F302" i="13"/>
  <c r="F300" i="13"/>
  <c r="F299" i="13"/>
  <c r="F298" i="13"/>
  <c r="F297" i="13"/>
  <c r="F296" i="13"/>
  <c r="F295" i="13"/>
  <c r="F294" i="13"/>
  <c r="F293" i="13"/>
  <c r="F292" i="13"/>
  <c r="F291" i="13"/>
  <c r="F290" i="13"/>
  <c r="F289" i="13"/>
  <c r="F288" i="13"/>
  <c r="F283" i="13"/>
  <c r="F282" i="13"/>
  <c r="F281" i="13"/>
  <c r="F280" i="13"/>
  <c r="F279" i="13"/>
  <c r="F278" i="13"/>
  <c r="F277" i="13"/>
  <c r="F276" i="13"/>
  <c r="F275" i="13"/>
  <c r="F273" i="13"/>
  <c r="F272" i="13"/>
  <c r="F271" i="13"/>
  <c r="F270" i="13"/>
  <c r="F269" i="13"/>
  <c r="F268" i="13"/>
  <c r="F267" i="13"/>
  <c r="F266" i="13"/>
  <c r="F265" i="13"/>
  <c r="F264" i="13"/>
  <c r="F263" i="13"/>
  <c r="F262" i="13"/>
  <c r="F261" i="13"/>
  <c r="F256" i="13"/>
  <c r="F255" i="13"/>
  <c r="F254" i="13"/>
  <c r="F253" i="13"/>
  <c r="F252" i="13"/>
  <c r="F251" i="13"/>
  <c r="F250" i="13"/>
  <c r="F249" i="13"/>
  <c r="F248" i="13"/>
  <c r="F246" i="13"/>
  <c r="F245" i="13"/>
  <c r="F244" i="13"/>
  <c r="F243" i="13"/>
  <c r="F242" i="13"/>
  <c r="F241" i="13"/>
  <c r="F240" i="13"/>
  <c r="F239" i="13"/>
  <c r="F238" i="13"/>
  <c r="F237" i="13"/>
  <c r="F236" i="13"/>
  <c r="F235" i="13"/>
  <c r="F234" i="13"/>
  <c r="F229" i="13"/>
  <c r="F228" i="13"/>
  <c r="F227" i="13"/>
  <c r="F226" i="13"/>
  <c r="F225" i="13"/>
  <c r="F224" i="13"/>
  <c r="F223" i="13"/>
  <c r="F222" i="13"/>
  <c r="F221" i="13"/>
  <c r="F219" i="13"/>
  <c r="F218" i="13"/>
  <c r="F217" i="13"/>
  <c r="F216" i="13"/>
  <c r="F215" i="13"/>
  <c r="F214" i="13"/>
  <c r="F213" i="13"/>
  <c r="F212" i="13"/>
  <c r="F211" i="13"/>
  <c r="F210" i="13"/>
  <c r="F209" i="13"/>
  <c r="F208" i="13"/>
  <c r="F207" i="13"/>
  <c r="F202" i="13"/>
  <c r="F201" i="13"/>
  <c r="F200" i="13"/>
  <c r="F199" i="13"/>
  <c r="F198" i="13"/>
  <c r="F197" i="13"/>
  <c r="F196" i="13"/>
  <c r="F195" i="13"/>
  <c r="F194" i="13"/>
  <c r="F192" i="13"/>
  <c r="F191" i="13"/>
  <c r="F190" i="13"/>
  <c r="F189" i="13"/>
  <c r="F188" i="13"/>
  <c r="F187" i="13"/>
  <c r="F186" i="13"/>
  <c r="F185" i="13"/>
  <c r="F184" i="13"/>
  <c r="F183" i="13"/>
  <c r="F182" i="13"/>
  <c r="F181" i="13"/>
  <c r="F180" i="13"/>
  <c r="F175" i="13"/>
  <c r="F174" i="13"/>
  <c r="F173" i="13"/>
  <c r="F172" i="13"/>
  <c r="F171" i="13"/>
  <c r="F170" i="13"/>
  <c r="F169" i="13"/>
  <c r="F168" i="13"/>
  <c r="F167" i="13"/>
  <c r="F165" i="13"/>
  <c r="F164" i="13"/>
  <c r="F163" i="13"/>
  <c r="F162" i="13"/>
  <c r="F161" i="13"/>
  <c r="F160" i="13"/>
  <c r="F159" i="13"/>
  <c r="F158" i="13"/>
  <c r="F157" i="13"/>
  <c r="F156" i="13"/>
  <c r="F155" i="13"/>
  <c r="F154" i="13"/>
  <c r="F153" i="13"/>
  <c r="F148" i="13"/>
  <c r="F147" i="13"/>
  <c r="F146" i="13"/>
  <c r="F145" i="13"/>
  <c r="F144" i="13"/>
  <c r="F143" i="13"/>
  <c r="F142" i="13"/>
  <c r="F141" i="13"/>
  <c r="F140" i="13"/>
  <c r="F138" i="13"/>
  <c r="F137" i="13"/>
  <c r="F136" i="13"/>
  <c r="F135" i="13"/>
  <c r="F134" i="13"/>
  <c r="F133" i="13"/>
  <c r="F132" i="13"/>
  <c r="F131" i="13"/>
  <c r="F130" i="13"/>
  <c r="F129" i="13"/>
  <c r="F128" i="13"/>
  <c r="F127" i="13"/>
  <c r="F126" i="13"/>
  <c r="F121" i="13"/>
  <c r="F120" i="13"/>
  <c r="F119" i="13"/>
  <c r="F118" i="13"/>
  <c r="F117" i="13"/>
  <c r="F116" i="13"/>
  <c r="F115" i="13"/>
  <c r="F114" i="13"/>
  <c r="F113" i="13"/>
  <c r="F111" i="13"/>
  <c r="F110" i="13"/>
  <c r="F109" i="13"/>
  <c r="F108" i="13"/>
  <c r="F107" i="13"/>
  <c r="F106" i="13"/>
  <c r="F105" i="13"/>
  <c r="F104" i="13"/>
  <c r="F103" i="13"/>
  <c r="F102" i="13"/>
  <c r="F101" i="13"/>
  <c r="F100" i="13"/>
  <c r="F99" i="13"/>
  <c r="F93" i="13"/>
  <c r="F92" i="13"/>
  <c r="F91" i="13"/>
  <c r="F90" i="13"/>
  <c r="F89" i="13"/>
  <c r="F88" i="13"/>
  <c r="F87" i="13"/>
  <c r="F86" i="13"/>
  <c r="F85" i="13"/>
  <c r="F83" i="13"/>
  <c r="F82" i="13"/>
  <c r="F81" i="13"/>
  <c r="F80" i="13"/>
  <c r="F79" i="13"/>
  <c r="F78" i="13"/>
  <c r="F77" i="13"/>
  <c r="F76" i="13"/>
  <c r="F75" i="13"/>
  <c r="F74" i="13"/>
  <c r="F73" i="13"/>
  <c r="F72" i="13"/>
  <c r="F71" i="13"/>
  <c r="K10" i="8" l="1"/>
  <c r="G223" i="10"/>
  <c r="G224" i="10"/>
  <c r="C352" i="10" s="1"/>
  <c r="G220" i="10"/>
  <c r="C351" i="10" s="1"/>
  <c r="G219" i="10"/>
  <c r="G228" i="10"/>
  <c r="C353" i="10" s="1"/>
  <c r="G227" i="10"/>
  <c r="E168" i="15"/>
  <c r="G168" i="15" s="1"/>
  <c r="E222" i="15"/>
  <c r="G222" i="15" s="1"/>
  <c r="E139" i="15"/>
  <c r="G139" i="15" s="1"/>
  <c r="E146" i="15"/>
  <c r="G146" i="15" s="1"/>
  <c r="E247" i="15"/>
  <c r="E307" i="15"/>
  <c r="G307" i="15" s="1"/>
  <c r="E279" i="15"/>
  <c r="G279" i="15" s="1"/>
  <c r="E172" i="15"/>
  <c r="G172" i="15" s="1"/>
  <c r="E277" i="15"/>
  <c r="G277" i="15" s="1"/>
  <c r="E306" i="15"/>
  <c r="G306" i="15" s="1"/>
  <c r="L59" i="18"/>
  <c r="E302" i="15"/>
  <c r="G302" i="15" s="1"/>
  <c r="E303" i="15"/>
  <c r="G303" i="15" s="1"/>
  <c r="E226" i="15"/>
  <c r="G226" i="15" s="1"/>
  <c r="M59" i="18"/>
  <c r="L58" i="18"/>
  <c r="L57" i="18"/>
  <c r="N58" i="18"/>
  <c r="M58" i="18"/>
  <c r="N57" i="18"/>
  <c r="M57" i="18"/>
  <c r="N59" i="18"/>
  <c r="E193" i="15"/>
  <c r="G193" i="15" s="1"/>
  <c r="E276" i="15"/>
  <c r="G276" i="15" s="1"/>
  <c r="E281" i="15"/>
  <c r="G281" i="15" s="1"/>
  <c r="E280" i="15"/>
  <c r="G280" i="15" s="1"/>
  <c r="E300" i="15"/>
  <c r="G300" i="15" s="1"/>
  <c r="E142" i="15"/>
  <c r="G142" i="15" s="1"/>
  <c r="E305" i="15"/>
  <c r="G305" i="15" s="1"/>
  <c r="E273" i="15"/>
  <c r="G273" i="15" s="1"/>
  <c r="E171" i="15"/>
  <c r="G171" i="15" s="1"/>
  <c r="E304" i="15"/>
  <c r="G304" i="15" s="1"/>
  <c r="E309" i="15"/>
  <c r="G309" i="15" s="1"/>
  <c r="E308" i="15"/>
  <c r="G308" i="15" s="1"/>
  <c r="E246" i="15"/>
  <c r="G246" i="15" s="1"/>
  <c r="E199" i="15"/>
  <c r="G199" i="15" s="1"/>
  <c r="E301" i="15"/>
  <c r="G301" i="15" s="1"/>
  <c r="E282" i="15"/>
  <c r="G282" i="15" s="1"/>
  <c r="E275" i="15"/>
  <c r="G275" i="15" s="1"/>
  <c r="E90" i="15"/>
  <c r="G90" i="15" s="1"/>
  <c r="E225" i="15"/>
  <c r="G225" i="15" s="1"/>
  <c r="E170" i="15"/>
  <c r="G170" i="15" s="1"/>
  <c r="E274" i="15"/>
  <c r="G274" i="15" s="1"/>
  <c r="E144" i="15"/>
  <c r="G144" i="15" s="1"/>
  <c r="G247" i="15"/>
  <c r="E278" i="15"/>
  <c r="G278" i="15" s="1"/>
  <c r="E219" i="15"/>
  <c r="G219" i="15" s="1"/>
  <c r="E86" i="15"/>
  <c r="G86" i="15" s="1"/>
  <c r="E221" i="15"/>
  <c r="G221" i="15" s="1"/>
  <c r="E227" i="15"/>
  <c r="G227" i="15" s="1"/>
  <c r="E223" i="15"/>
  <c r="G223" i="15" s="1"/>
  <c r="E197" i="15"/>
  <c r="G197" i="15" s="1"/>
  <c r="E191" i="15"/>
  <c r="G191" i="15" s="1"/>
  <c r="E220" i="15"/>
  <c r="G220" i="15" s="1"/>
  <c r="E91" i="15"/>
  <c r="G91" i="15" s="1"/>
  <c r="E194" i="15"/>
  <c r="G194" i="15" s="1"/>
  <c r="E224" i="15"/>
  <c r="G224" i="15" s="1"/>
  <c r="E196" i="15"/>
  <c r="G196" i="15" s="1"/>
  <c r="E165" i="15"/>
  <c r="G165" i="15" s="1"/>
  <c r="E195" i="15"/>
  <c r="G195" i="15" s="1"/>
  <c r="E200" i="15"/>
  <c r="G200" i="15" s="1"/>
  <c r="E169" i="15"/>
  <c r="G169" i="15" s="1"/>
  <c r="E166" i="15"/>
  <c r="G166" i="15" s="1"/>
  <c r="E198" i="15"/>
  <c r="G198" i="15" s="1"/>
  <c r="E167" i="15"/>
  <c r="G167" i="15" s="1"/>
  <c r="E173" i="15"/>
  <c r="G173" i="15" s="1"/>
  <c r="E192" i="15"/>
  <c r="G192" i="15" s="1"/>
  <c r="E85" i="15"/>
  <c r="G85" i="15" s="1"/>
  <c r="E138" i="15"/>
  <c r="G138" i="15" s="1"/>
  <c r="E87" i="15"/>
  <c r="G87" i="15" s="1"/>
  <c r="E89" i="15"/>
  <c r="G89" i="15" s="1"/>
  <c r="E93" i="15"/>
  <c r="G93" i="15" s="1"/>
  <c r="E140" i="15"/>
  <c r="G140" i="15" s="1"/>
  <c r="E111" i="15"/>
  <c r="G111" i="15" s="1"/>
  <c r="E145" i="15"/>
  <c r="G145" i="15" s="1"/>
  <c r="E141" i="15"/>
  <c r="G141" i="15" s="1"/>
  <c r="E112" i="15"/>
  <c r="G112" i="15" s="1"/>
  <c r="E147" i="15"/>
  <c r="G147" i="15" s="1"/>
  <c r="E143" i="15"/>
  <c r="G143" i="15" s="1"/>
  <c r="E88" i="15"/>
  <c r="G88" i="15" s="1"/>
  <c r="E92" i="15"/>
  <c r="G92" i="15" s="1"/>
  <c r="E84" i="15"/>
  <c r="G84" i="15" s="1"/>
  <c r="E301" i="13"/>
  <c r="G301" i="13" s="1"/>
  <c r="E139" i="13"/>
  <c r="G139" i="13" s="1"/>
  <c r="E247" i="13"/>
  <c r="G247" i="13" s="1"/>
  <c r="E274" i="13"/>
  <c r="G274" i="13" s="1"/>
  <c r="E220" i="13"/>
  <c r="G220" i="13" s="1"/>
  <c r="E166" i="13"/>
  <c r="G166" i="13" s="1"/>
  <c r="E193" i="13"/>
  <c r="G193" i="13" s="1"/>
  <c r="E112" i="13"/>
  <c r="G112" i="13" s="1"/>
  <c r="E84" i="13"/>
  <c r="G84" i="13" s="1"/>
  <c r="D174" i="10"/>
  <c r="F174" i="10" s="1"/>
  <c r="D235" i="10"/>
  <c r="F235" i="10" s="1"/>
  <c r="D231" i="10"/>
  <c r="F231" i="10" s="1"/>
  <c r="D194" i="10"/>
  <c r="F194" i="10" s="1"/>
  <c r="G196" i="10" s="1"/>
  <c r="C342" i="10" s="1"/>
  <c r="D199" i="10"/>
  <c r="F199" i="10" s="1"/>
  <c r="D189" i="10"/>
  <c r="F189" i="10" s="1"/>
  <c r="D169" i="10"/>
  <c r="F169" i="10" s="1"/>
  <c r="D164" i="10"/>
  <c r="F164" i="10" s="1"/>
  <c r="G164" i="10" s="1"/>
  <c r="D179" i="10"/>
  <c r="F179" i="10" s="1"/>
  <c r="D184" i="10"/>
  <c r="F184" i="10" s="1"/>
  <c r="E149" i="10"/>
  <c r="F149" i="10" s="1"/>
  <c r="E139" i="10"/>
  <c r="F139" i="10" s="1"/>
  <c r="D159" i="10"/>
  <c r="F159" i="10" s="1"/>
  <c r="D154" i="10"/>
  <c r="F154" i="10" s="1"/>
  <c r="G154" i="10" s="1"/>
  <c r="E144" i="10"/>
  <c r="F144" i="10" s="1"/>
  <c r="G144" i="10" s="1"/>
  <c r="F420" i="15"/>
  <c r="F419" i="15"/>
  <c r="F418" i="15"/>
  <c r="F417" i="15"/>
  <c r="F408" i="15"/>
  <c r="F407" i="15"/>
  <c r="F406" i="15"/>
  <c r="F405" i="15"/>
  <c r="F396" i="15"/>
  <c r="F395" i="15"/>
  <c r="F394" i="15"/>
  <c r="F393" i="15"/>
  <c r="F384" i="15"/>
  <c r="F383" i="15"/>
  <c r="F382" i="15"/>
  <c r="F381" i="15"/>
  <c r="F372" i="15"/>
  <c r="F371" i="15"/>
  <c r="F370" i="15"/>
  <c r="F369" i="15"/>
  <c r="F360" i="15"/>
  <c r="F359" i="15"/>
  <c r="F358" i="15"/>
  <c r="F357" i="15"/>
  <c r="F348" i="15"/>
  <c r="F347" i="15"/>
  <c r="F346" i="15"/>
  <c r="F345" i="15"/>
  <c r="F336" i="15"/>
  <c r="F335" i="15"/>
  <c r="F334" i="15"/>
  <c r="F333" i="15"/>
  <c r="F321" i="15"/>
  <c r="F322" i="15"/>
  <c r="F323" i="15"/>
  <c r="F324" i="15"/>
  <c r="F299" i="15"/>
  <c r="F298" i="15"/>
  <c r="F297" i="15"/>
  <c r="F296" i="15"/>
  <c r="F295" i="15"/>
  <c r="F294" i="15"/>
  <c r="F293" i="15"/>
  <c r="F292" i="15"/>
  <c r="F291" i="15"/>
  <c r="F290" i="15"/>
  <c r="F289" i="15"/>
  <c r="F288" i="15"/>
  <c r="F287" i="15"/>
  <c r="F272" i="15"/>
  <c r="F271" i="15"/>
  <c r="F270" i="15"/>
  <c r="F269" i="15"/>
  <c r="F268" i="15"/>
  <c r="F267" i="15"/>
  <c r="F266" i="15"/>
  <c r="F265" i="15"/>
  <c r="F264" i="15"/>
  <c r="F263" i="15"/>
  <c r="F262" i="15"/>
  <c r="F261" i="15"/>
  <c r="F260" i="15"/>
  <c r="F255" i="15"/>
  <c r="F254" i="15"/>
  <c r="F253" i="15"/>
  <c r="F252" i="15"/>
  <c r="F251" i="15"/>
  <c r="F250" i="15"/>
  <c r="F249" i="15"/>
  <c r="F248" i="15"/>
  <c r="F245" i="15"/>
  <c r="F244" i="15"/>
  <c r="F243" i="15"/>
  <c r="F242" i="15"/>
  <c r="F241" i="15"/>
  <c r="F240" i="15"/>
  <c r="F239" i="15"/>
  <c r="F238" i="15"/>
  <c r="F237" i="15"/>
  <c r="F236" i="15"/>
  <c r="F235" i="15"/>
  <c r="F234" i="15"/>
  <c r="F233" i="15"/>
  <c r="F228" i="15"/>
  <c r="F218" i="15"/>
  <c r="F217" i="15"/>
  <c r="F216" i="15"/>
  <c r="F215" i="15"/>
  <c r="F214" i="15"/>
  <c r="F213" i="15"/>
  <c r="F212" i="15"/>
  <c r="F211" i="15"/>
  <c r="F210" i="15"/>
  <c r="F209" i="15"/>
  <c r="F208" i="15"/>
  <c r="F207" i="15"/>
  <c r="F206" i="15"/>
  <c r="F201" i="15"/>
  <c r="F190" i="15"/>
  <c r="F189" i="15"/>
  <c r="F188" i="15"/>
  <c r="F187" i="15"/>
  <c r="F186" i="15"/>
  <c r="F185" i="15"/>
  <c r="F184" i="15"/>
  <c r="F183" i="15"/>
  <c r="F182" i="15"/>
  <c r="F181" i="15"/>
  <c r="F180" i="15"/>
  <c r="F179" i="15"/>
  <c r="F174" i="15"/>
  <c r="F164" i="15"/>
  <c r="F163" i="15"/>
  <c r="F162" i="15"/>
  <c r="F161" i="15"/>
  <c r="F160" i="15"/>
  <c r="F159" i="15"/>
  <c r="F158" i="15"/>
  <c r="F157" i="15"/>
  <c r="F156" i="15"/>
  <c r="F155" i="15"/>
  <c r="F154" i="15"/>
  <c r="F153" i="15"/>
  <c r="F152" i="15"/>
  <c r="F137" i="15"/>
  <c r="F136" i="15"/>
  <c r="F135" i="15"/>
  <c r="F134" i="15"/>
  <c r="F133" i="15"/>
  <c r="F132" i="15"/>
  <c r="F131" i="15"/>
  <c r="F130" i="15"/>
  <c r="F129" i="15"/>
  <c r="F128" i="15"/>
  <c r="F127" i="15"/>
  <c r="F126" i="15"/>
  <c r="F125" i="15"/>
  <c r="F120" i="15"/>
  <c r="F119" i="15"/>
  <c r="F118" i="15"/>
  <c r="F117" i="15"/>
  <c r="F116" i="15"/>
  <c r="F115" i="15"/>
  <c r="F114" i="15"/>
  <c r="F113" i="15"/>
  <c r="F110" i="15"/>
  <c r="F109" i="15"/>
  <c r="F108" i="15"/>
  <c r="F107" i="15"/>
  <c r="F106" i="15"/>
  <c r="F105" i="15"/>
  <c r="F104" i="15"/>
  <c r="F103" i="15"/>
  <c r="F102" i="15"/>
  <c r="F101" i="15"/>
  <c r="F100" i="15"/>
  <c r="F99" i="15"/>
  <c r="F98" i="15"/>
  <c r="F71" i="15"/>
  <c r="F72" i="15"/>
  <c r="F73" i="15"/>
  <c r="F74" i="15"/>
  <c r="F75" i="15"/>
  <c r="F76" i="15"/>
  <c r="F77" i="15"/>
  <c r="F78" i="15"/>
  <c r="F79" i="15"/>
  <c r="F80" i="15"/>
  <c r="F81" i="15"/>
  <c r="F82" i="15"/>
  <c r="F83" i="15"/>
  <c r="G175" i="10" l="1"/>
  <c r="G174" i="10"/>
  <c r="G176" i="10"/>
  <c r="C338" i="10" s="1"/>
  <c r="G236" i="10"/>
  <c r="C355" i="10" s="1"/>
  <c r="G235" i="10"/>
  <c r="G232" i="10"/>
  <c r="C354" i="10" s="1"/>
  <c r="G231" i="10"/>
  <c r="G194" i="10"/>
  <c r="G195" i="10"/>
  <c r="G186" i="10"/>
  <c r="C340" i="10" s="1"/>
  <c r="G184" i="10"/>
  <c r="G185" i="10"/>
  <c r="G191" i="10"/>
  <c r="C341" i="10" s="1"/>
  <c r="G190" i="10"/>
  <c r="G189" i="10"/>
  <c r="G199" i="10"/>
  <c r="G201" i="10"/>
  <c r="C343" i="10" s="1"/>
  <c r="G200" i="10"/>
  <c r="G161" i="10"/>
  <c r="C335" i="10" s="1"/>
  <c r="G160" i="10"/>
  <c r="G159" i="10"/>
  <c r="G181" i="10"/>
  <c r="C339" i="10" s="1"/>
  <c r="G180" i="10"/>
  <c r="G179" i="10"/>
  <c r="G166" i="10"/>
  <c r="C336" i="10" s="1"/>
  <c r="G165" i="10"/>
  <c r="G171" i="10"/>
  <c r="C337" i="10" s="1"/>
  <c r="G170" i="10"/>
  <c r="G169" i="10"/>
  <c r="G149" i="10"/>
  <c r="G150" i="10"/>
  <c r="G151" i="10"/>
  <c r="C333" i="10" s="1"/>
  <c r="G141" i="10"/>
  <c r="C331" i="10" s="1"/>
  <c r="G140" i="10"/>
  <c r="G139" i="10"/>
  <c r="G145" i="10"/>
  <c r="G146" i="10"/>
  <c r="C332" i="10" s="1"/>
  <c r="G156" i="10"/>
  <c r="C334" i="10" s="1"/>
  <c r="G155" i="10"/>
  <c r="D15" i="8"/>
  <c r="D420" i="15"/>
  <c r="C420" i="15"/>
  <c r="D419" i="15"/>
  <c r="C419" i="15"/>
  <c r="D418" i="15"/>
  <c r="C418" i="15"/>
  <c r="D417" i="15"/>
  <c r="C417" i="15"/>
  <c r="D408" i="15"/>
  <c r="C408" i="15"/>
  <c r="D407" i="15"/>
  <c r="C407" i="15"/>
  <c r="D406" i="15"/>
  <c r="C406" i="15"/>
  <c r="D405" i="15"/>
  <c r="C405" i="15"/>
  <c r="D396" i="15"/>
  <c r="C396" i="15"/>
  <c r="D395" i="15"/>
  <c r="C395" i="15"/>
  <c r="D394" i="15"/>
  <c r="C394" i="15"/>
  <c r="D393" i="15"/>
  <c r="C393" i="15"/>
  <c r="D384" i="15"/>
  <c r="C384" i="15"/>
  <c r="D383" i="15"/>
  <c r="C383" i="15"/>
  <c r="D382" i="15"/>
  <c r="C382" i="15"/>
  <c r="D381" i="15"/>
  <c r="C381" i="15"/>
  <c r="D372" i="15"/>
  <c r="C372" i="15"/>
  <c r="D371" i="15"/>
  <c r="C371" i="15"/>
  <c r="D370" i="15"/>
  <c r="C370" i="15"/>
  <c r="D369" i="15"/>
  <c r="C369" i="15"/>
  <c r="D360" i="15"/>
  <c r="C360" i="15"/>
  <c r="D359" i="15"/>
  <c r="C359" i="15"/>
  <c r="D358" i="15"/>
  <c r="C358" i="15"/>
  <c r="D357" i="15"/>
  <c r="C357" i="15"/>
  <c r="D348" i="15"/>
  <c r="C348" i="15"/>
  <c r="D347" i="15"/>
  <c r="C347" i="15"/>
  <c r="D346" i="15"/>
  <c r="C346" i="15"/>
  <c r="D345" i="15"/>
  <c r="C345" i="15"/>
  <c r="D336" i="15"/>
  <c r="C336" i="15"/>
  <c r="D335" i="15"/>
  <c r="C335" i="15"/>
  <c r="D334" i="15"/>
  <c r="C334" i="15"/>
  <c r="D333" i="15"/>
  <c r="C333" i="15"/>
  <c r="D324" i="15"/>
  <c r="C324" i="15"/>
  <c r="D323" i="15"/>
  <c r="C323" i="15"/>
  <c r="D322" i="15"/>
  <c r="C322" i="15"/>
  <c r="D321" i="15"/>
  <c r="C321" i="15"/>
  <c r="D299" i="15"/>
  <c r="C299" i="15"/>
  <c r="D298" i="15"/>
  <c r="C298" i="15"/>
  <c r="D297" i="15"/>
  <c r="C297" i="15"/>
  <c r="D296" i="15"/>
  <c r="C296" i="15"/>
  <c r="D295" i="15"/>
  <c r="C295" i="15"/>
  <c r="D294" i="15"/>
  <c r="C294" i="15"/>
  <c r="D293" i="15"/>
  <c r="C293" i="15"/>
  <c r="D292" i="15"/>
  <c r="C292" i="15"/>
  <c r="D291" i="15"/>
  <c r="C291" i="15"/>
  <c r="D290" i="15"/>
  <c r="C290" i="15"/>
  <c r="D289" i="15"/>
  <c r="C289" i="15"/>
  <c r="D288" i="15"/>
  <c r="C288" i="15"/>
  <c r="D287" i="15"/>
  <c r="C287" i="15"/>
  <c r="D272" i="15"/>
  <c r="C272" i="15"/>
  <c r="D271" i="15"/>
  <c r="C271" i="15"/>
  <c r="D270" i="15"/>
  <c r="C270" i="15"/>
  <c r="D269" i="15"/>
  <c r="C269" i="15"/>
  <c r="D268" i="15"/>
  <c r="C268" i="15"/>
  <c r="D267" i="15"/>
  <c r="C267" i="15"/>
  <c r="D266" i="15"/>
  <c r="C266" i="15"/>
  <c r="D265" i="15"/>
  <c r="C265" i="15"/>
  <c r="D264" i="15"/>
  <c r="C264" i="15"/>
  <c r="D263" i="15"/>
  <c r="C263" i="15"/>
  <c r="D262" i="15"/>
  <c r="C262" i="15"/>
  <c r="D261" i="15"/>
  <c r="C261" i="15"/>
  <c r="D260" i="15"/>
  <c r="C260" i="15"/>
  <c r="D255" i="15"/>
  <c r="C255" i="15"/>
  <c r="D254" i="15"/>
  <c r="C254" i="15"/>
  <c r="D253" i="15"/>
  <c r="C253" i="15"/>
  <c r="D252" i="15"/>
  <c r="C252" i="15"/>
  <c r="D251" i="15"/>
  <c r="C251" i="15"/>
  <c r="D250" i="15"/>
  <c r="C250" i="15"/>
  <c r="D249" i="15"/>
  <c r="C249" i="15"/>
  <c r="D248" i="15"/>
  <c r="C248" i="15"/>
  <c r="D245" i="15"/>
  <c r="C245" i="15"/>
  <c r="D244" i="15"/>
  <c r="C244" i="15"/>
  <c r="D243" i="15"/>
  <c r="C243" i="15"/>
  <c r="D242" i="15"/>
  <c r="C242" i="15"/>
  <c r="D241" i="15"/>
  <c r="C241" i="15"/>
  <c r="D240" i="15"/>
  <c r="C240" i="15"/>
  <c r="D239" i="15"/>
  <c r="C239" i="15"/>
  <c r="D238" i="15"/>
  <c r="C238" i="15"/>
  <c r="D237" i="15"/>
  <c r="C237" i="15"/>
  <c r="D236" i="15"/>
  <c r="C236" i="15"/>
  <c r="D235" i="15"/>
  <c r="C235" i="15"/>
  <c r="D234" i="15"/>
  <c r="C234" i="15"/>
  <c r="D233" i="15"/>
  <c r="C233" i="15"/>
  <c r="D228" i="15"/>
  <c r="C228" i="15"/>
  <c r="D218" i="15"/>
  <c r="C218" i="15"/>
  <c r="D217" i="15"/>
  <c r="C217" i="15"/>
  <c r="D216" i="15"/>
  <c r="C216" i="15"/>
  <c r="D215" i="15"/>
  <c r="C215" i="15"/>
  <c r="D214" i="15"/>
  <c r="C214" i="15"/>
  <c r="D213" i="15"/>
  <c r="C213" i="15"/>
  <c r="D212" i="15"/>
  <c r="C212" i="15"/>
  <c r="D211" i="15"/>
  <c r="C211" i="15"/>
  <c r="D210" i="15"/>
  <c r="C210" i="15"/>
  <c r="D209" i="15"/>
  <c r="C209" i="15"/>
  <c r="D208" i="15"/>
  <c r="C208" i="15"/>
  <c r="D207" i="15"/>
  <c r="C207" i="15"/>
  <c r="D206" i="15"/>
  <c r="C206" i="15"/>
  <c r="D201" i="15"/>
  <c r="C201" i="15"/>
  <c r="D190" i="15"/>
  <c r="C190" i="15"/>
  <c r="D189" i="15"/>
  <c r="C189" i="15"/>
  <c r="D188" i="15"/>
  <c r="C188" i="15"/>
  <c r="D187" i="15"/>
  <c r="C187" i="15"/>
  <c r="D186" i="15"/>
  <c r="C186" i="15"/>
  <c r="D185" i="15"/>
  <c r="C185" i="15"/>
  <c r="D184" i="15"/>
  <c r="C184" i="15"/>
  <c r="D183" i="15"/>
  <c r="C183" i="15"/>
  <c r="D182" i="15"/>
  <c r="C182" i="15"/>
  <c r="D181" i="15"/>
  <c r="C181" i="15"/>
  <c r="D180" i="15"/>
  <c r="C180" i="15"/>
  <c r="D179" i="15"/>
  <c r="C179" i="15"/>
  <c r="D174" i="15"/>
  <c r="C174" i="15"/>
  <c r="D164" i="15"/>
  <c r="C164" i="15"/>
  <c r="D163" i="15"/>
  <c r="C163" i="15"/>
  <c r="D162" i="15"/>
  <c r="C162" i="15"/>
  <c r="D161" i="15"/>
  <c r="C161" i="15"/>
  <c r="D160" i="15"/>
  <c r="C160" i="15"/>
  <c r="D159" i="15"/>
  <c r="C159" i="15"/>
  <c r="D158" i="15"/>
  <c r="C158" i="15"/>
  <c r="D157" i="15"/>
  <c r="C157" i="15"/>
  <c r="D156" i="15"/>
  <c r="C156" i="15"/>
  <c r="D155" i="15"/>
  <c r="C155" i="15"/>
  <c r="D154" i="15"/>
  <c r="C154" i="15"/>
  <c r="D153" i="15"/>
  <c r="C153" i="15"/>
  <c r="D152" i="15"/>
  <c r="C152" i="15"/>
  <c r="D137" i="15"/>
  <c r="C137" i="15"/>
  <c r="D136" i="15"/>
  <c r="C136" i="15"/>
  <c r="D135" i="15"/>
  <c r="C135" i="15"/>
  <c r="D134" i="15"/>
  <c r="C134" i="15"/>
  <c r="D133" i="15"/>
  <c r="C133" i="15"/>
  <c r="D132" i="15"/>
  <c r="C132" i="15"/>
  <c r="D131" i="15"/>
  <c r="C131" i="15"/>
  <c r="D130" i="15"/>
  <c r="C130" i="15"/>
  <c r="D129" i="15"/>
  <c r="C129" i="15"/>
  <c r="D128" i="15"/>
  <c r="C128" i="15"/>
  <c r="D127" i="15"/>
  <c r="C127" i="15"/>
  <c r="D126" i="15"/>
  <c r="C126" i="15"/>
  <c r="D125" i="15"/>
  <c r="C125" i="15"/>
  <c r="D120" i="15"/>
  <c r="C120" i="15"/>
  <c r="D119" i="15"/>
  <c r="C119" i="15"/>
  <c r="D118" i="15"/>
  <c r="C118" i="15"/>
  <c r="D117" i="15"/>
  <c r="C117" i="15"/>
  <c r="D116" i="15"/>
  <c r="C116" i="15"/>
  <c r="D115" i="15"/>
  <c r="C115" i="15"/>
  <c r="D114" i="15"/>
  <c r="C114" i="15"/>
  <c r="D113" i="15"/>
  <c r="C113" i="15"/>
  <c r="D110" i="15"/>
  <c r="C110" i="15"/>
  <c r="D109" i="15"/>
  <c r="C109" i="15"/>
  <c r="D108" i="15"/>
  <c r="C108" i="15"/>
  <c r="D107" i="15"/>
  <c r="C107" i="15"/>
  <c r="D106" i="15"/>
  <c r="C106" i="15"/>
  <c r="D105" i="15"/>
  <c r="C105" i="15"/>
  <c r="D104" i="15"/>
  <c r="C104" i="15"/>
  <c r="D103" i="15"/>
  <c r="C103" i="15"/>
  <c r="D102" i="15"/>
  <c r="C102" i="15"/>
  <c r="D101" i="15"/>
  <c r="C101" i="15"/>
  <c r="D100" i="15"/>
  <c r="C100" i="15"/>
  <c r="D99" i="15"/>
  <c r="C99" i="15"/>
  <c r="D98" i="15"/>
  <c r="C98" i="15"/>
  <c r="D83" i="15"/>
  <c r="C83" i="15"/>
  <c r="D82" i="15"/>
  <c r="C82" i="15"/>
  <c r="D81" i="15"/>
  <c r="C81" i="15"/>
  <c r="D80" i="15"/>
  <c r="C80" i="15"/>
  <c r="D79" i="15"/>
  <c r="C79" i="15"/>
  <c r="D78" i="15"/>
  <c r="C78" i="15"/>
  <c r="D77" i="15"/>
  <c r="C77" i="15"/>
  <c r="D76" i="15"/>
  <c r="C76" i="15"/>
  <c r="D75" i="15"/>
  <c r="C75" i="15"/>
  <c r="D74" i="15"/>
  <c r="C74" i="15"/>
  <c r="D73" i="15"/>
  <c r="C73" i="15"/>
  <c r="D72" i="15"/>
  <c r="C72" i="15"/>
  <c r="D71" i="15"/>
  <c r="C71" i="15"/>
  <c r="D310" i="13"/>
  <c r="C310" i="13"/>
  <c r="D309" i="13"/>
  <c r="C309" i="13"/>
  <c r="D308" i="13"/>
  <c r="C308" i="13"/>
  <c r="D307" i="13"/>
  <c r="C307" i="13"/>
  <c r="D306" i="13"/>
  <c r="C306" i="13"/>
  <c r="D305" i="13"/>
  <c r="C305" i="13"/>
  <c r="D304" i="13"/>
  <c r="C304" i="13"/>
  <c r="D303" i="13"/>
  <c r="C303" i="13"/>
  <c r="D302" i="13"/>
  <c r="C302" i="13"/>
  <c r="D300" i="13"/>
  <c r="C300" i="13"/>
  <c r="D299" i="13"/>
  <c r="C299" i="13"/>
  <c r="D298" i="13"/>
  <c r="C298" i="13"/>
  <c r="D297" i="13"/>
  <c r="C297" i="13"/>
  <c r="D296" i="13"/>
  <c r="C296" i="13"/>
  <c r="D295" i="13"/>
  <c r="C295" i="13"/>
  <c r="D294" i="13"/>
  <c r="C294" i="13"/>
  <c r="D293" i="13"/>
  <c r="C293" i="13"/>
  <c r="D292" i="13"/>
  <c r="C292" i="13"/>
  <c r="D291" i="13"/>
  <c r="C291" i="13"/>
  <c r="D290" i="13"/>
  <c r="C290" i="13"/>
  <c r="D289" i="13"/>
  <c r="C289" i="13"/>
  <c r="D288" i="13"/>
  <c r="C288" i="13"/>
  <c r="D283" i="13"/>
  <c r="C283" i="13"/>
  <c r="D282" i="13"/>
  <c r="C282" i="13"/>
  <c r="D281" i="13"/>
  <c r="C281" i="13"/>
  <c r="D280" i="13"/>
  <c r="C280" i="13"/>
  <c r="D279" i="13"/>
  <c r="C279" i="13"/>
  <c r="D278" i="13"/>
  <c r="C278" i="13"/>
  <c r="D277" i="13"/>
  <c r="C277" i="13"/>
  <c r="D276" i="13"/>
  <c r="C276" i="13"/>
  <c r="D275" i="13"/>
  <c r="C275" i="13"/>
  <c r="D273" i="13"/>
  <c r="C273" i="13"/>
  <c r="D272" i="13"/>
  <c r="C272" i="13"/>
  <c r="D271" i="13"/>
  <c r="C271" i="13"/>
  <c r="D270" i="13"/>
  <c r="C270" i="13"/>
  <c r="D269" i="13"/>
  <c r="C269" i="13"/>
  <c r="D268" i="13"/>
  <c r="C268" i="13"/>
  <c r="D267" i="13"/>
  <c r="C267" i="13"/>
  <c r="D266" i="13"/>
  <c r="C266" i="13"/>
  <c r="D265" i="13"/>
  <c r="C265" i="13"/>
  <c r="D264" i="13"/>
  <c r="C264" i="13"/>
  <c r="D263" i="13"/>
  <c r="C263" i="13"/>
  <c r="D262" i="13"/>
  <c r="C262" i="13"/>
  <c r="D261" i="13"/>
  <c r="C261" i="13"/>
  <c r="D256" i="13"/>
  <c r="C256" i="13"/>
  <c r="D255" i="13"/>
  <c r="C255" i="13"/>
  <c r="D254" i="13"/>
  <c r="C254" i="13"/>
  <c r="D253" i="13"/>
  <c r="C253" i="13"/>
  <c r="D252" i="13"/>
  <c r="C252" i="13"/>
  <c r="D251" i="13"/>
  <c r="C251" i="13"/>
  <c r="D250" i="13"/>
  <c r="C250" i="13"/>
  <c r="D249" i="13"/>
  <c r="C249" i="13"/>
  <c r="D248" i="13"/>
  <c r="C248" i="13"/>
  <c r="D246" i="13"/>
  <c r="C246" i="13"/>
  <c r="D245" i="13"/>
  <c r="C245" i="13"/>
  <c r="D244" i="13"/>
  <c r="C244" i="13"/>
  <c r="D243" i="13"/>
  <c r="C243" i="13"/>
  <c r="D242" i="13"/>
  <c r="C242" i="13"/>
  <c r="D241" i="13"/>
  <c r="C241" i="13"/>
  <c r="D240" i="13"/>
  <c r="C240" i="13"/>
  <c r="D239" i="13"/>
  <c r="C239" i="13"/>
  <c r="D238" i="13"/>
  <c r="C238" i="13"/>
  <c r="D237" i="13"/>
  <c r="C237" i="13"/>
  <c r="D236" i="13"/>
  <c r="C236" i="13"/>
  <c r="D235" i="13"/>
  <c r="C235" i="13"/>
  <c r="D234" i="13"/>
  <c r="C234" i="13"/>
  <c r="D229" i="13"/>
  <c r="C229" i="13"/>
  <c r="D228" i="13"/>
  <c r="C228" i="13"/>
  <c r="D227" i="13"/>
  <c r="C227" i="13"/>
  <c r="D226" i="13"/>
  <c r="C226" i="13"/>
  <c r="D225" i="13"/>
  <c r="C225" i="13"/>
  <c r="D224" i="13"/>
  <c r="C224" i="13"/>
  <c r="D223" i="13"/>
  <c r="C223" i="13"/>
  <c r="D222" i="13"/>
  <c r="C222" i="13"/>
  <c r="D221" i="13"/>
  <c r="C221"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2" i="13"/>
  <c r="C202" i="13"/>
  <c r="D201" i="13"/>
  <c r="C201" i="13"/>
  <c r="D200" i="13"/>
  <c r="C200" i="13"/>
  <c r="D199" i="13"/>
  <c r="C199" i="13"/>
  <c r="D198" i="13"/>
  <c r="C198" i="13"/>
  <c r="D197" i="13"/>
  <c r="C197" i="13"/>
  <c r="D196" i="13"/>
  <c r="C196" i="13"/>
  <c r="D195" i="13"/>
  <c r="C195" i="13"/>
  <c r="D194" i="13"/>
  <c r="C194"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5" i="13"/>
  <c r="C175" i="13"/>
  <c r="D174" i="13"/>
  <c r="C174" i="13"/>
  <c r="D173" i="13"/>
  <c r="C173" i="13"/>
  <c r="D172" i="13"/>
  <c r="C172" i="13"/>
  <c r="D171" i="13"/>
  <c r="C171" i="13"/>
  <c r="D170" i="13"/>
  <c r="C170" i="13"/>
  <c r="D169" i="13"/>
  <c r="C169" i="13"/>
  <c r="D168" i="13"/>
  <c r="C168" i="13"/>
  <c r="D167" i="13"/>
  <c r="C167" i="13"/>
  <c r="D165" i="13"/>
  <c r="C165" i="13"/>
  <c r="D164" i="13"/>
  <c r="C164" i="13"/>
  <c r="D163" i="13"/>
  <c r="C163" i="13"/>
  <c r="D162" i="13"/>
  <c r="C162" i="13"/>
  <c r="D161" i="13"/>
  <c r="C161" i="13"/>
  <c r="D160" i="13"/>
  <c r="C160" i="13"/>
  <c r="D159" i="13"/>
  <c r="C159" i="13"/>
  <c r="D158" i="13"/>
  <c r="C158" i="13"/>
  <c r="D157" i="13"/>
  <c r="C157" i="13"/>
  <c r="D156" i="13"/>
  <c r="C156" i="13"/>
  <c r="D155" i="13"/>
  <c r="C155" i="13"/>
  <c r="D154" i="13"/>
  <c r="C154" i="13"/>
  <c r="D153" i="13"/>
  <c r="C153" i="13"/>
  <c r="D148" i="13"/>
  <c r="C148" i="13"/>
  <c r="D147" i="13"/>
  <c r="C147" i="13"/>
  <c r="D146" i="13"/>
  <c r="C146" i="13"/>
  <c r="D145" i="13"/>
  <c r="C145" i="13"/>
  <c r="D144" i="13"/>
  <c r="C144" i="13"/>
  <c r="D143" i="13"/>
  <c r="C143" i="13"/>
  <c r="D142" i="13"/>
  <c r="C142" i="13"/>
  <c r="D141" i="13"/>
  <c r="C141" i="13"/>
  <c r="D140" i="13"/>
  <c r="C140" i="13"/>
  <c r="D138" i="13"/>
  <c r="C138" i="13"/>
  <c r="D137" i="13"/>
  <c r="C137" i="13"/>
  <c r="D136" i="13"/>
  <c r="C136" i="13"/>
  <c r="D135" i="13"/>
  <c r="C135" i="13"/>
  <c r="D134" i="13"/>
  <c r="C134" i="13"/>
  <c r="D133" i="13"/>
  <c r="C133" i="13"/>
  <c r="D132" i="13"/>
  <c r="C132" i="13"/>
  <c r="D131" i="13"/>
  <c r="C131" i="13"/>
  <c r="D130" i="13"/>
  <c r="C130" i="13"/>
  <c r="D129" i="13"/>
  <c r="C129" i="13"/>
  <c r="D128" i="13"/>
  <c r="C128" i="13"/>
  <c r="D127" i="13"/>
  <c r="C127" i="13"/>
  <c r="D126" i="13"/>
  <c r="C126" i="13"/>
  <c r="D121" i="13"/>
  <c r="C121" i="13"/>
  <c r="D120" i="13"/>
  <c r="C120" i="13"/>
  <c r="D119" i="13"/>
  <c r="C119" i="13"/>
  <c r="D118" i="13"/>
  <c r="C118" i="13"/>
  <c r="D117" i="13"/>
  <c r="C117" i="13"/>
  <c r="D116" i="13"/>
  <c r="C116" i="13"/>
  <c r="D115" i="13"/>
  <c r="C115" i="13"/>
  <c r="D114" i="13"/>
  <c r="C114" i="13"/>
  <c r="D113" i="13"/>
  <c r="C113" i="13"/>
  <c r="D111" i="13"/>
  <c r="C111" i="13"/>
  <c r="D110" i="13"/>
  <c r="C110" i="13"/>
  <c r="D109" i="13"/>
  <c r="C109" i="13"/>
  <c r="D108" i="13"/>
  <c r="C108" i="13"/>
  <c r="D107" i="13"/>
  <c r="C107" i="13"/>
  <c r="D106" i="13"/>
  <c r="C106" i="13"/>
  <c r="D105" i="13"/>
  <c r="C105" i="13"/>
  <c r="D104" i="13"/>
  <c r="C104" i="13"/>
  <c r="D103" i="13"/>
  <c r="C103" i="13"/>
  <c r="D102" i="13"/>
  <c r="C102" i="13"/>
  <c r="D101" i="13"/>
  <c r="C101" i="13"/>
  <c r="D100" i="13"/>
  <c r="C100" i="13"/>
  <c r="D99" i="13"/>
  <c r="C99" i="13"/>
  <c r="D93" i="13"/>
  <c r="C93" i="13"/>
  <c r="D92" i="13"/>
  <c r="C92" i="13"/>
  <c r="D91" i="13"/>
  <c r="C91" i="13"/>
  <c r="D90" i="13"/>
  <c r="C90" i="13"/>
  <c r="D89" i="13"/>
  <c r="C89" i="13"/>
  <c r="D88" i="13"/>
  <c r="C88" i="13"/>
  <c r="D87" i="13"/>
  <c r="C87" i="13"/>
  <c r="D86" i="13"/>
  <c r="C86" i="13"/>
  <c r="D85" i="13"/>
  <c r="C85" i="13"/>
  <c r="D83" i="13"/>
  <c r="C83" i="13"/>
  <c r="D82" i="13"/>
  <c r="C82" i="13"/>
  <c r="D81" i="13"/>
  <c r="C81" i="13"/>
  <c r="D80" i="13"/>
  <c r="C80" i="13"/>
  <c r="D79" i="13"/>
  <c r="C79" i="13"/>
  <c r="D78" i="13"/>
  <c r="C78" i="13"/>
  <c r="D77" i="13"/>
  <c r="C77" i="13"/>
  <c r="D76" i="13"/>
  <c r="C76" i="13"/>
  <c r="D75" i="13"/>
  <c r="C75" i="13"/>
  <c r="D74" i="13"/>
  <c r="C74" i="13"/>
  <c r="D73" i="13"/>
  <c r="C73" i="13"/>
  <c r="D72" i="13"/>
  <c r="C72" i="13"/>
  <c r="D71" i="13"/>
  <c r="C71" i="13"/>
  <c r="D397" i="13"/>
  <c r="C397" i="13"/>
  <c r="D396" i="13"/>
  <c r="C396" i="13"/>
  <c r="D395" i="13"/>
  <c r="C395" i="13"/>
  <c r="D394" i="13"/>
  <c r="C394" i="13"/>
  <c r="D421" i="13"/>
  <c r="C421" i="13"/>
  <c r="D420" i="13"/>
  <c r="C420" i="13"/>
  <c r="D419" i="13"/>
  <c r="C419" i="13"/>
  <c r="D418" i="13"/>
  <c r="C418" i="13"/>
  <c r="D409" i="13"/>
  <c r="C409" i="13"/>
  <c r="D408" i="13"/>
  <c r="C408" i="13"/>
  <c r="D407" i="13"/>
  <c r="C407" i="13"/>
  <c r="D406" i="13"/>
  <c r="C406" i="13"/>
  <c r="D385" i="13"/>
  <c r="C385" i="13"/>
  <c r="D384" i="13"/>
  <c r="C384" i="13"/>
  <c r="D383" i="13"/>
  <c r="C383" i="13"/>
  <c r="D382" i="13"/>
  <c r="C382" i="13"/>
  <c r="D373" i="13"/>
  <c r="C373" i="13"/>
  <c r="D372" i="13"/>
  <c r="C372" i="13"/>
  <c r="D371" i="13"/>
  <c r="C371" i="13"/>
  <c r="D370" i="13"/>
  <c r="C370" i="13"/>
  <c r="D361" i="13"/>
  <c r="C361" i="13"/>
  <c r="D360" i="13"/>
  <c r="C360" i="13"/>
  <c r="D359" i="13"/>
  <c r="C359" i="13"/>
  <c r="D358" i="13"/>
  <c r="C358" i="13"/>
  <c r="D349" i="13"/>
  <c r="C349" i="13"/>
  <c r="D348" i="13"/>
  <c r="C348" i="13"/>
  <c r="D347" i="13"/>
  <c r="C347" i="13"/>
  <c r="D346" i="13"/>
  <c r="C346" i="13"/>
  <c r="D337" i="13"/>
  <c r="C337" i="13"/>
  <c r="D336" i="13"/>
  <c r="C336" i="13"/>
  <c r="D335" i="13"/>
  <c r="C335" i="13"/>
  <c r="D334" i="13"/>
  <c r="C334" i="13"/>
  <c r="D325" i="13"/>
  <c r="C325" i="13"/>
  <c r="D324" i="13"/>
  <c r="C324" i="13"/>
  <c r="D323" i="13"/>
  <c r="C323" i="13"/>
  <c r="D322" i="13"/>
  <c r="C322" i="13"/>
  <c r="AO15" i="8" l="1"/>
  <c r="E302" i="13"/>
  <c r="G302" i="13" s="1"/>
  <c r="E79" i="15"/>
  <c r="G79" i="15" s="1"/>
  <c r="E101" i="15"/>
  <c r="G101" i="15" s="1"/>
  <c r="E133" i="15"/>
  <c r="G133" i="15" s="1"/>
  <c r="E155" i="15"/>
  <c r="G155" i="15" s="1"/>
  <c r="E174" i="15"/>
  <c r="G174" i="15" s="1"/>
  <c r="E295" i="15"/>
  <c r="G295" i="15" s="1"/>
  <c r="E321" i="15"/>
  <c r="G321" i="15" s="1"/>
  <c r="E381" i="15"/>
  <c r="G381" i="15" s="1"/>
  <c r="E90" i="13"/>
  <c r="G90" i="13" s="1"/>
  <c r="E136" i="13"/>
  <c r="G136" i="13" s="1"/>
  <c r="E158" i="13"/>
  <c r="G158" i="13" s="1"/>
  <c r="E244" i="13"/>
  <c r="G244" i="13" s="1"/>
  <c r="E266" i="13"/>
  <c r="G266" i="13" s="1"/>
  <c r="E307" i="13"/>
  <c r="G307" i="13" s="1"/>
  <c r="E117" i="15"/>
  <c r="G117" i="15" s="1"/>
  <c r="E162" i="15"/>
  <c r="G162" i="15" s="1"/>
  <c r="E216" i="15"/>
  <c r="G216" i="15" s="1"/>
  <c r="E270" i="15"/>
  <c r="G270" i="15" s="1"/>
  <c r="E292" i="15"/>
  <c r="G292" i="15" s="1"/>
  <c r="E346" i="15"/>
  <c r="G346" i="15" s="1"/>
  <c r="E360" i="15"/>
  <c r="G360" i="15" s="1"/>
  <c r="E406" i="15"/>
  <c r="G406" i="15" s="1"/>
  <c r="E420" i="15"/>
  <c r="G420" i="15" s="1"/>
  <c r="E288" i="13"/>
  <c r="G288" i="13" s="1"/>
  <c r="E306" i="13"/>
  <c r="G306" i="13" s="1"/>
  <c r="E75" i="15"/>
  <c r="G75" i="15" s="1"/>
  <c r="E215" i="15"/>
  <c r="G215" i="15" s="1"/>
  <c r="E237" i="15"/>
  <c r="G237" i="15" s="1"/>
  <c r="E248" i="15"/>
  <c r="G248" i="15" s="1"/>
  <c r="E260" i="15"/>
  <c r="G260" i="15" s="1"/>
  <c r="E269" i="15"/>
  <c r="G269" i="15" s="1"/>
  <c r="E291" i="15"/>
  <c r="G291" i="15" s="1"/>
  <c r="E345" i="15"/>
  <c r="G345" i="15" s="1"/>
  <c r="E359" i="15"/>
  <c r="G359" i="15" s="1"/>
  <c r="E405" i="15"/>
  <c r="G405" i="15" s="1"/>
  <c r="E419" i="15"/>
  <c r="G419" i="15" s="1"/>
  <c r="E78" i="15"/>
  <c r="G78" i="15" s="1"/>
  <c r="E119" i="15"/>
  <c r="G119" i="15" s="1"/>
  <c r="E348" i="15"/>
  <c r="G348" i="15" s="1"/>
  <c r="E408" i="15"/>
  <c r="G408" i="15" s="1"/>
  <c r="E72" i="13"/>
  <c r="G72" i="13" s="1"/>
  <c r="E91" i="13"/>
  <c r="G91" i="13" s="1"/>
  <c r="E137" i="13"/>
  <c r="G137" i="13" s="1"/>
  <c r="E159" i="13"/>
  <c r="G159" i="13" s="1"/>
  <c r="E200" i="13"/>
  <c r="G200" i="13" s="1"/>
  <c r="E213" i="13"/>
  <c r="G213" i="13" s="1"/>
  <c r="E235" i="13"/>
  <c r="G235" i="13" s="1"/>
  <c r="E245" i="13"/>
  <c r="G245" i="13" s="1"/>
  <c r="E254" i="13"/>
  <c r="G254" i="13" s="1"/>
  <c r="E267" i="13"/>
  <c r="G267" i="13" s="1"/>
  <c r="E289" i="13"/>
  <c r="G289" i="13" s="1"/>
  <c r="E299" i="13"/>
  <c r="G299" i="13" s="1"/>
  <c r="E308" i="13"/>
  <c r="G308" i="13" s="1"/>
  <c r="E77" i="15"/>
  <c r="G77" i="15" s="1"/>
  <c r="E118" i="15"/>
  <c r="G118" i="15" s="1"/>
  <c r="E153" i="15"/>
  <c r="G153" i="15" s="1"/>
  <c r="E163" i="15"/>
  <c r="G163" i="15" s="1"/>
  <c r="E185" i="15"/>
  <c r="G185" i="15" s="1"/>
  <c r="E207" i="15"/>
  <c r="G207" i="15" s="1"/>
  <c r="E271" i="15"/>
  <c r="G271" i="15" s="1"/>
  <c r="E293" i="15"/>
  <c r="G293" i="15" s="1"/>
  <c r="E333" i="15"/>
  <c r="G333" i="15" s="1"/>
  <c r="E347" i="15"/>
  <c r="G347" i="15" s="1"/>
  <c r="E393" i="15"/>
  <c r="G393" i="15" s="1"/>
  <c r="E71" i="15"/>
  <c r="G71" i="15" s="1"/>
  <c r="E125" i="15"/>
  <c r="G125" i="15" s="1"/>
  <c r="E156" i="15"/>
  <c r="G156" i="15" s="1"/>
  <c r="E242" i="15"/>
  <c r="G242" i="15" s="1"/>
  <c r="E287" i="15"/>
  <c r="G287" i="15" s="1"/>
  <c r="E81" i="15"/>
  <c r="G81" i="15" s="1"/>
  <c r="E103" i="15"/>
  <c r="G103" i="15" s="1"/>
  <c r="E135" i="15"/>
  <c r="G135" i="15" s="1"/>
  <c r="E157" i="15"/>
  <c r="G157" i="15" s="1"/>
  <c r="E189" i="15"/>
  <c r="G189" i="15" s="1"/>
  <c r="E243" i="15"/>
  <c r="G243" i="15" s="1"/>
  <c r="E252" i="15"/>
  <c r="G252" i="15" s="1"/>
  <c r="E265" i="15"/>
  <c r="G265" i="15" s="1"/>
  <c r="E297" i="15"/>
  <c r="G297" i="15" s="1"/>
  <c r="E323" i="15"/>
  <c r="G323" i="15" s="1"/>
  <c r="E383" i="15"/>
  <c r="G383" i="15" s="1"/>
  <c r="E77" i="13"/>
  <c r="G77" i="13" s="1"/>
  <c r="E100" i="13"/>
  <c r="G100" i="13" s="1"/>
  <c r="E119" i="13"/>
  <c r="G119" i="13" s="1"/>
  <c r="E72" i="15"/>
  <c r="G72" i="15" s="1"/>
  <c r="E180" i="15"/>
  <c r="G180" i="15" s="1"/>
  <c r="E244" i="15"/>
  <c r="G244" i="15" s="1"/>
  <c r="E288" i="15"/>
  <c r="G288" i="15" s="1"/>
  <c r="E370" i="15"/>
  <c r="G370" i="15" s="1"/>
  <c r="E105" i="15"/>
  <c r="G105" i="15" s="1"/>
  <c r="E127" i="15"/>
  <c r="G127" i="15" s="1"/>
  <c r="E137" i="15"/>
  <c r="G137" i="15" s="1"/>
  <c r="E159" i="15"/>
  <c r="G159" i="15" s="1"/>
  <c r="E181" i="15"/>
  <c r="G181" i="15" s="1"/>
  <c r="E213" i="15"/>
  <c r="G213" i="15" s="1"/>
  <c r="E235" i="15"/>
  <c r="G235" i="15" s="1"/>
  <c r="E245" i="15"/>
  <c r="G245" i="15" s="1"/>
  <c r="E254" i="15"/>
  <c r="G254" i="15" s="1"/>
  <c r="E289" i="15"/>
  <c r="G289" i="15" s="1"/>
  <c r="E357" i="15"/>
  <c r="G357" i="15" s="1"/>
  <c r="E417" i="15"/>
  <c r="G417" i="15" s="1"/>
  <c r="E106" i="15"/>
  <c r="G106" i="15" s="1"/>
  <c r="E128" i="15"/>
  <c r="G128" i="15" s="1"/>
  <c r="E160" i="15"/>
  <c r="G160" i="15" s="1"/>
  <c r="E201" i="15"/>
  <c r="G201" i="15" s="1"/>
  <c r="E214" i="15"/>
  <c r="G214" i="15" s="1"/>
  <c r="E236" i="15"/>
  <c r="G236" i="15" s="1"/>
  <c r="E255" i="15"/>
  <c r="G255" i="15" s="1"/>
  <c r="E268" i="15"/>
  <c r="G268" i="15" s="1"/>
  <c r="E372" i="15"/>
  <c r="G372" i="15" s="1"/>
  <c r="E382" i="15"/>
  <c r="G382" i="15" s="1"/>
  <c r="E107" i="15"/>
  <c r="G107" i="15" s="1"/>
  <c r="E152" i="15"/>
  <c r="G152" i="15" s="1"/>
  <c r="E186" i="15"/>
  <c r="G186" i="15" s="1"/>
  <c r="E208" i="15"/>
  <c r="G208" i="15" s="1"/>
  <c r="E249" i="15"/>
  <c r="G249" i="15" s="1"/>
  <c r="E396" i="15"/>
  <c r="G396" i="15" s="1"/>
  <c r="E407" i="15"/>
  <c r="G407" i="15" s="1"/>
  <c r="E73" i="15"/>
  <c r="G73" i="15" s="1"/>
  <c r="E108" i="15"/>
  <c r="G108" i="15" s="1"/>
  <c r="E130" i="15"/>
  <c r="G130" i="15" s="1"/>
  <c r="E187" i="15"/>
  <c r="G187" i="15" s="1"/>
  <c r="E209" i="15"/>
  <c r="G209" i="15" s="1"/>
  <c r="E228" i="15"/>
  <c r="G228" i="15" s="1"/>
  <c r="E250" i="15"/>
  <c r="G250" i="15" s="1"/>
  <c r="E369" i="15"/>
  <c r="G369" i="15" s="1"/>
  <c r="E182" i="15"/>
  <c r="G182" i="15" s="1"/>
  <c r="E217" i="15"/>
  <c r="G217" i="15" s="1"/>
  <c r="E100" i="15"/>
  <c r="G100" i="15" s="1"/>
  <c r="E114" i="15"/>
  <c r="G114" i="15" s="1"/>
  <c r="E132" i="15"/>
  <c r="G132" i="15" s="1"/>
  <c r="E371" i="15"/>
  <c r="G371" i="15" s="1"/>
  <c r="E98" i="15"/>
  <c r="G98" i="15" s="1"/>
  <c r="E116" i="15"/>
  <c r="G116" i="15" s="1"/>
  <c r="E161" i="15"/>
  <c r="G161" i="15" s="1"/>
  <c r="E183" i="15"/>
  <c r="G183" i="15" s="1"/>
  <c r="E211" i="15"/>
  <c r="G211" i="15" s="1"/>
  <c r="E262" i="15"/>
  <c r="G262" i="15" s="1"/>
  <c r="E290" i="15"/>
  <c r="G290" i="15" s="1"/>
  <c r="E261" i="15"/>
  <c r="G261" i="15" s="1"/>
  <c r="E241" i="15"/>
  <c r="G241" i="15" s="1"/>
  <c r="E322" i="15"/>
  <c r="G322" i="15" s="1"/>
  <c r="E80" i="15"/>
  <c r="G80" i="15" s="1"/>
  <c r="E210" i="15"/>
  <c r="G210" i="15" s="1"/>
  <c r="E395" i="15"/>
  <c r="G395" i="15" s="1"/>
  <c r="E120" i="15"/>
  <c r="G120" i="15" s="1"/>
  <c r="E299" i="15"/>
  <c r="G299" i="15" s="1"/>
  <c r="E334" i="15"/>
  <c r="G334" i="15" s="1"/>
  <c r="E99" i="15"/>
  <c r="G99" i="15" s="1"/>
  <c r="E188" i="15"/>
  <c r="G188" i="15" s="1"/>
  <c r="E76" i="15"/>
  <c r="G76" i="15" s="1"/>
  <c r="E102" i="15"/>
  <c r="G102" i="15" s="1"/>
  <c r="E136" i="15"/>
  <c r="G136" i="15" s="1"/>
  <c r="E184" i="15"/>
  <c r="G184" i="15" s="1"/>
  <c r="E206" i="15"/>
  <c r="G206" i="15" s="1"/>
  <c r="E218" i="15"/>
  <c r="G218" i="15" s="1"/>
  <c r="E233" i="15"/>
  <c r="G233" i="15" s="1"/>
  <c r="E239" i="15"/>
  <c r="G239" i="15" s="1"/>
  <c r="E272" i="15"/>
  <c r="G272" i="15" s="1"/>
  <c r="E335" i="15"/>
  <c r="G335" i="15" s="1"/>
  <c r="E154" i="15"/>
  <c r="G154" i="15" s="1"/>
  <c r="E115" i="15"/>
  <c r="G115" i="15" s="1"/>
  <c r="E158" i="15"/>
  <c r="G158" i="15" s="1"/>
  <c r="E266" i="15"/>
  <c r="G266" i="15" s="1"/>
  <c r="E294" i="15"/>
  <c r="G294" i="15" s="1"/>
  <c r="E394" i="15"/>
  <c r="G394" i="15" s="1"/>
  <c r="E296" i="15"/>
  <c r="G296" i="15" s="1"/>
  <c r="E83" i="15"/>
  <c r="G83" i="15" s="1"/>
  <c r="E110" i="15"/>
  <c r="G110" i="15" s="1"/>
  <c r="E131" i="15"/>
  <c r="G131" i="15" s="1"/>
  <c r="E240" i="15"/>
  <c r="G240" i="15" s="1"/>
  <c r="E251" i="15"/>
  <c r="G251" i="15" s="1"/>
  <c r="E267" i="15"/>
  <c r="G267" i="15" s="1"/>
  <c r="E74" i="15"/>
  <c r="G74" i="15" s="1"/>
  <c r="E113" i="15"/>
  <c r="G113" i="15" s="1"/>
  <c r="E129" i="15"/>
  <c r="G129" i="15" s="1"/>
  <c r="E238" i="15"/>
  <c r="G238" i="15" s="1"/>
  <c r="E418" i="15"/>
  <c r="G418" i="15" s="1"/>
  <c r="E358" i="15"/>
  <c r="G358" i="15" s="1"/>
  <c r="E109" i="15"/>
  <c r="G109" i="15" s="1"/>
  <c r="E164" i="15"/>
  <c r="G164" i="15" s="1"/>
  <c r="E263" i="15"/>
  <c r="G263" i="15" s="1"/>
  <c r="E336" i="15"/>
  <c r="G336" i="15" s="1"/>
  <c r="E104" i="15"/>
  <c r="G104" i="15" s="1"/>
  <c r="E190" i="15"/>
  <c r="G190" i="15" s="1"/>
  <c r="E234" i="15"/>
  <c r="G234" i="15" s="1"/>
  <c r="E324" i="15"/>
  <c r="G324" i="15" s="1"/>
  <c r="E384" i="15"/>
  <c r="G384" i="15" s="1"/>
  <c r="E134" i="15"/>
  <c r="G134" i="15" s="1"/>
  <c r="E179" i="15"/>
  <c r="G179" i="15" s="1"/>
  <c r="E264" i="15"/>
  <c r="G264" i="15" s="1"/>
  <c r="E82" i="15"/>
  <c r="G82" i="15" s="1"/>
  <c r="E126" i="15"/>
  <c r="G126" i="15" s="1"/>
  <c r="E212" i="15"/>
  <c r="G212" i="15" s="1"/>
  <c r="E253" i="15"/>
  <c r="G253" i="15" s="1"/>
  <c r="E298" i="15"/>
  <c r="G298" i="15" s="1"/>
  <c r="E164" i="13"/>
  <c r="G164" i="13" s="1"/>
  <c r="E186" i="13"/>
  <c r="G186" i="13" s="1"/>
  <c r="E208" i="13"/>
  <c r="G208" i="13" s="1"/>
  <c r="E227" i="13"/>
  <c r="G227" i="13" s="1"/>
  <c r="E272" i="13"/>
  <c r="G272" i="13" s="1"/>
  <c r="E294" i="13"/>
  <c r="G294" i="13" s="1"/>
  <c r="E207" i="13"/>
  <c r="G207" i="13" s="1"/>
  <c r="E225" i="13"/>
  <c r="G225" i="13" s="1"/>
  <c r="E249" i="13"/>
  <c r="G249" i="13" s="1"/>
  <c r="E270" i="13"/>
  <c r="G270" i="13" s="1"/>
  <c r="E292" i="13"/>
  <c r="G292" i="13" s="1"/>
  <c r="E217" i="13"/>
  <c r="G217" i="13" s="1"/>
  <c r="E239" i="13"/>
  <c r="G239" i="13" s="1"/>
  <c r="E226" i="13"/>
  <c r="G226" i="13" s="1"/>
  <c r="E271" i="13"/>
  <c r="G271" i="13" s="1"/>
  <c r="E293" i="13"/>
  <c r="G293" i="13" s="1"/>
  <c r="E255" i="13"/>
  <c r="G255" i="13" s="1"/>
  <c r="E277" i="13"/>
  <c r="G277" i="13" s="1"/>
  <c r="E300" i="13"/>
  <c r="G300" i="13" s="1"/>
  <c r="E280" i="13"/>
  <c r="G280" i="13" s="1"/>
  <c r="E168" i="13"/>
  <c r="G168" i="13" s="1"/>
  <c r="E189" i="13"/>
  <c r="G189" i="13" s="1"/>
  <c r="E211" i="13"/>
  <c r="G211" i="13" s="1"/>
  <c r="E234" i="13"/>
  <c r="G234" i="13" s="1"/>
  <c r="E305" i="13"/>
  <c r="G305" i="13" s="1"/>
  <c r="E218" i="13"/>
  <c r="G218" i="13" s="1"/>
  <c r="E240" i="13"/>
  <c r="G240" i="13" s="1"/>
  <c r="E262" i="13"/>
  <c r="G262" i="13" s="1"/>
  <c r="E281" i="13"/>
  <c r="G281" i="13" s="1"/>
  <c r="E295" i="13"/>
  <c r="G295" i="13" s="1"/>
  <c r="E195" i="13"/>
  <c r="G195" i="13" s="1"/>
  <c r="E216" i="13"/>
  <c r="G216" i="13" s="1"/>
  <c r="E238" i="13"/>
  <c r="G238" i="13" s="1"/>
  <c r="E261" i="13"/>
  <c r="G261" i="13" s="1"/>
  <c r="E279" i="13"/>
  <c r="G279" i="13" s="1"/>
  <c r="E303" i="13"/>
  <c r="G303" i="13" s="1"/>
  <c r="E275" i="13"/>
  <c r="G275" i="13" s="1"/>
  <c r="E296" i="13"/>
  <c r="G296" i="13" s="1"/>
  <c r="E268" i="13"/>
  <c r="G268" i="13" s="1"/>
  <c r="E290" i="13"/>
  <c r="G290" i="13" s="1"/>
  <c r="E309" i="13"/>
  <c r="G309" i="13" s="1"/>
  <c r="E252" i="13"/>
  <c r="G252" i="13" s="1"/>
  <c r="E276" i="13"/>
  <c r="G276" i="13" s="1"/>
  <c r="E297" i="13"/>
  <c r="G297" i="13" s="1"/>
  <c r="E161" i="13"/>
  <c r="G161" i="13" s="1"/>
  <c r="E248" i="13"/>
  <c r="G248" i="13" s="1"/>
  <c r="E269" i="13"/>
  <c r="G269" i="13" s="1"/>
  <c r="E291" i="13"/>
  <c r="G291" i="13" s="1"/>
  <c r="E310" i="13"/>
  <c r="G310" i="13" s="1"/>
  <c r="E190" i="13"/>
  <c r="G190" i="13" s="1"/>
  <c r="E212" i="13"/>
  <c r="G212" i="13" s="1"/>
  <c r="E253" i="13"/>
  <c r="G253" i="13" s="1"/>
  <c r="E298" i="13"/>
  <c r="G298" i="13" s="1"/>
  <c r="E241" i="13"/>
  <c r="G241" i="13" s="1"/>
  <c r="E263" i="13"/>
  <c r="G263" i="13" s="1"/>
  <c r="E282" i="13"/>
  <c r="G282" i="13" s="1"/>
  <c r="E304" i="13"/>
  <c r="G304" i="13" s="1"/>
  <c r="E127" i="13"/>
  <c r="G127" i="13" s="1"/>
  <c r="E146" i="13"/>
  <c r="G146" i="13" s="1"/>
  <c r="E242" i="13"/>
  <c r="G242" i="13" s="1"/>
  <c r="E264" i="13"/>
  <c r="G264" i="13" s="1"/>
  <c r="E283" i="13"/>
  <c r="G283" i="13" s="1"/>
  <c r="E214" i="13"/>
  <c r="G214" i="13" s="1"/>
  <c r="E236" i="13"/>
  <c r="G236" i="13" s="1"/>
  <c r="E222" i="13"/>
  <c r="G222" i="13" s="1"/>
  <c r="E243" i="13"/>
  <c r="G243" i="13" s="1"/>
  <c r="E265" i="13"/>
  <c r="G265" i="13" s="1"/>
  <c r="E278" i="13"/>
  <c r="G278" i="13" s="1"/>
  <c r="E187" i="13"/>
  <c r="G187" i="13" s="1"/>
  <c r="E209" i="13"/>
  <c r="G209" i="13" s="1"/>
  <c r="E228" i="13"/>
  <c r="G228" i="13" s="1"/>
  <c r="E250" i="13"/>
  <c r="G250" i="13" s="1"/>
  <c r="E273" i="13"/>
  <c r="G273" i="13" s="1"/>
  <c r="E215" i="13"/>
  <c r="G215" i="13" s="1"/>
  <c r="E237" i="13"/>
  <c r="G237" i="13" s="1"/>
  <c r="E256" i="13"/>
  <c r="G256" i="13" s="1"/>
  <c r="E181" i="13"/>
  <c r="G181" i="13" s="1"/>
  <c r="E251" i="13"/>
  <c r="G251" i="13" s="1"/>
  <c r="E185" i="13"/>
  <c r="G185" i="13" s="1"/>
  <c r="E160" i="13"/>
  <c r="G160" i="13" s="1"/>
  <c r="E182" i="13"/>
  <c r="G182" i="13" s="1"/>
  <c r="E223" i="13"/>
  <c r="G223" i="13" s="1"/>
  <c r="E246" i="13"/>
  <c r="G246" i="13" s="1"/>
  <c r="E221" i="13"/>
  <c r="G221" i="13" s="1"/>
  <c r="E188" i="13"/>
  <c r="G188" i="13" s="1"/>
  <c r="E210" i="13"/>
  <c r="G210" i="13" s="1"/>
  <c r="E229" i="13"/>
  <c r="G229" i="13" s="1"/>
  <c r="E194" i="13"/>
  <c r="G194" i="13" s="1"/>
  <c r="E202" i="13"/>
  <c r="G202" i="13" s="1"/>
  <c r="E224" i="13"/>
  <c r="G224" i="13" s="1"/>
  <c r="E184" i="13"/>
  <c r="G184" i="13" s="1"/>
  <c r="E196" i="13"/>
  <c r="G196" i="13" s="1"/>
  <c r="E219" i="13"/>
  <c r="G219" i="13" s="1"/>
  <c r="E394" i="13"/>
  <c r="G394" i="13" s="1"/>
  <c r="E167" i="13"/>
  <c r="G167" i="13" s="1"/>
  <c r="E131" i="13"/>
  <c r="G131" i="13" s="1"/>
  <c r="E172" i="13"/>
  <c r="G172" i="13" s="1"/>
  <c r="E199" i="13"/>
  <c r="G199" i="13" s="1"/>
  <c r="E81" i="13"/>
  <c r="G81" i="13" s="1"/>
  <c r="E183" i="13"/>
  <c r="G183" i="13" s="1"/>
  <c r="E162" i="13"/>
  <c r="G162" i="13" s="1"/>
  <c r="E201" i="13"/>
  <c r="G201" i="13" s="1"/>
  <c r="E106" i="13"/>
  <c r="G106" i="13" s="1"/>
  <c r="E128" i="13"/>
  <c r="G128" i="13" s="1"/>
  <c r="E147" i="13"/>
  <c r="G147" i="13" s="1"/>
  <c r="E169" i="13"/>
  <c r="G169" i="13" s="1"/>
  <c r="E191" i="13"/>
  <c r="G191" i="13" s="1"/>
  <c r="E135" i="13"/>
  <c r="G135" i="13" s="1"/>
  <c r="E157" i="13"/>
  <c r="G157" i="13" s="1"/>
  <c r="E180" i="13"/>
  <c r="G180" i="13" s="1"/>
  <c r="E192" i="13"/>
  <c r="G192" i="13" s="1"/>
  <c r="E197" i="13"/>
  <c r="G197" i="13" s="1"/>
  <c r="E86" i="13"/>
  <c r="G86" i="13" s="1"/>
  <c r="E108" i="13"/>
  <c r="G108" i="13" s="1"/>
  <c r="E130" i="13"/>
  <c r="G130" i="13" s="1"/>
  <c r="E153" i="13"/>
  <c r="G153" i="13" s="1"/>
  <c r="E171" i="13"/>
  <c r="G171" i="13" s="1"/>
  <c r="E198" i="13"/>
  <c r="G198" i="13" s="1"/>
  <c r="E110" i="13"/>
  <c r="G110" i="13" s="1"/>
  <c r="E132" i="13"/>
  <c r="G132" i="13" s="1"/>
  <c r="E154" i="13"/>
  <c r="G154" i="13" s="1"/>
  <c r="E173" i="13"/>
  <c r="G173" i="13" s="1"/>
  <c r="E133" i="13"/>
  <c r="G133" i="13" s="1"/>
  <c r="E155" i="13"/>
  <c r="G155" i="13" s="1"/>
  <c r="E174" i="13"/>
  <c r="G174" i="13" s="1"/>
  <c r="E382" i="13"/>
  <c r="G382" i="13" s="1"/>
  <c r="E113" i="13"/>
  <c r="G113" i="13" s="1"/>
  <c r="E134" i="13"/>
  <c r="G134" i="13" s="1"/>
  <c r="E156" i="13"/>
  <c r="G156" i="13" s="1"/>
  <c r="E175" i="13"/>
  <c r="G175" i="13" s="1"/>
  <c r="E163" i="13"/>
  <c r="G163" i="13" s="1"/>
  <c r="E129" i="13"/>
  <c r="G129" i="13" s="1"/>
  <c r="E170" i="13"/>
  <c r="G170" i="13" s="1"/>
  <c r="E407" i="13"/>
  <c r="G407" i="13" s="1"/>
  <c r="E78" i="13"/>
  <c r="G78" i="13" s="1"/>
  <c r="E101" i="13"/>
  <c r="G101" i="13" s="1"/>
  <c r="E165" i="13"/>
  <c r="G165" i="13" s="1"/>
  <c r="E85" i="13"/>
  <c r="G85" i="13" s="1"/>
  <c r="E141" i="13"/>
  <c r="G141" i="13" s="1"/>
  <c r="E143" i="13"/>
  <c r="G143" i="13" s="1"/>
  <c r="E138" i="13"/>
  <c r="G138" i="13" s="1"/>
  <c r="E140" i="13"/>
  <c r="G140" i="13" s="1"/>
  <c r="E144" i="13"/>
  <c r="G144" i="13" s="1"/>
  <c r="E76" i="13"/>
  <c r="G76" i="13" s="1"/>
  <c r="E145" i="13"/>
  <c r="G145" i="13" s="1"/>
  <c r="E114" i="13"/>
  <c r="G114" i="13" s="1"/>
  <c r="E121" i="13"/>
  <c r="G121" i="13" s="1"/>
  <c r="E142" i="13"/>
  <c r="G142" i="13" s="1"/>
  <c r="E148" i="13"/>
  <c r="G148" i="13" s="1"/>
  <c r="E126" i="13"/>
  <c r="G126" i="13" s="1"/>
  <c r="E79" i="13"/>
  <c r="G79" i="13" s="1"/>
  <c r="E102" i="13"/>
  <c r="G102" i="13" s="1"/>
  <c r="E109" i="13"/>
  <c r="G109" i="13" s="1"/>
  <c r="E99" i="13"/>
  <c r="G99" i="13" s="1"/>
  <c r="E103" i="13"/>
  <c r="G103" i="13" s="1"/>
  <c r="E360" i="13"/>
  <c r="G360" i="13" s="1"/>
  <c r="E105" i="13"/>
  <c r="G105" i="13" s="1"/>
  <c r="E117" i="13"/>
  <c r="G117" i="13" s="1"/>
  <c r="E107" i="13"/>
  <c r="G107" i="13" s="1"/>
  <c r="E370" i="13"/>
  <c r="G370" i="13" s="1"/>
  <c r="E88" i="13"/>
  <c r="G88" i="13" s="1"/>
  <c r="E116" i="13"/>
  <c r="G116" i="13" s="1"/>
  <c r="E80" i="13"/>
  <c r="G80" i="13" s="1"/>
  <c r="E120" i="13"/>
  <c r="G120" i="13" s="1"/>
  <c r="E118" i="13"/>
  <c r="G118" i="13" s="1"/>
  <c r="E409" i="13"/>
  <c r="G409" i="13" s="1"/>
  <c r="E115" i="13"/>
  <c r="G115" i="13" s="1"/>
  <c r="E111" i="13"/>
  <c r="G111" i="13" s="1"/>
  <c r="E75" i="13"/>
  <c r="G75" i="13" s="1"/>
  <c r="E104" i="13"/>
  <c r="G104" i="13" s="1"/>
  <c r="E71" i="13"/>
  <c r="G71" i="13" s="1"/>
  <c r="E89" i="13"/>
  <c r="G89" i="13" s="1"/>
  <c r="E73" i="13"/>
  <c r="G73" i="13" s="1"/>
  <c r="E92" i="13"/>
  <c r="G92" i="13" s="1"/>
  <c r="E395" i="13"/>
  <c r="G395" i="13" s="1"/>
  <c r="E74" i="13"/>
  <c r="G74" i="13" s="1"/>
  <c r="E93" i="13"/>
  <c r="G93" i="13" s="1"/>
  <c r="E421" i="13"/>
  <c r="G421" i="13" s="1"/>
  <c r="E87" i="13"/>
  <c r="G87" i="13" s="1"/>
  <c r="E82" i="13"/>
  <c r="G82" i="13" s="1"/>
  <c r="E83" i="13"/>
  <c r="G83" i="13" s="1"/>
  <c r="E406" i="13"/>
  <c r="G406" i="13" s="1"/>
  <c r="E396" i="13"/>
  <c r="G396" i="13" s="1"/>
  <c r="E397" i="13"/>
  <c r="G397" i="13" s="1"/>
  <c r="E383" i="13"/>
  <c r="G383" i="13" s="1"/>
  <c r="E385" i="13"/>
  <c r="G385" i="13" s="1"/>
  <c r="E418" i="13"/>
  <c r="G418" i="13" s="1"/>
  <c r="E419" i="13"/>
  <c r="G419" i="13" s="1"/>
  <c r="E420" i="13"/>
  <c r="G420" i="13" s="1"/>
  <c r="E349" i="13"/>
  <c r="G349" i="13" s="1"/>
  <c r="E384" i="13"/>
  <c r="G384" i="13" s="1"/>
  <c r="E408" i="13"/>
  <c r="G408" i="13" s="1"/>
  <c r="E335" i="13"/>
  <c r="G335" i="13" s="1"/>
  <c r="E346" i="13"/>
  <c r="G346" i="13" s="1"/>
  <c r="E358" i="13"/>
  <c r="G358" i="13" s="1"/>
  <c r="E371" i="13"/>
  <c r="G371" i="13" s="1"/>
  <c r="E361" i="13"/>
  <c r="G361" i="13" s="1"/>
  <c r="E372" i="13"/>
  <c r="G372" i="13" s="1"/>
  <c r="E373" i="13"/>
  <c r="G373" i="13" s="1"/>
  <c r="E348" i="13"/>
  <c r="G348" i="13" s="1"/>
  <c r="E359" i="13"/>
  <c r="G359" i="13" s="1"/>
  <c r="E347" i="13"/>
  <c r="G347" i="13" s="1"/>
  <c r="E334" i="13"/>
  <c r="G334" i="13" s="1"/>
  <c r="E322" i="13"/>
  <c r="G322" i="13" s="1"/>
  <c r="E324" i="13"/>
  <c r="G324" i="13" s="1"/>
  <c r="E325" i="13"/>
  <c r="G325" i="13" s="1"/>
  <c r="E323" i="13"/>
  <c r="G323" i="13" s="1"/>
  <c r="E336" i="13"/>
  <c r="G336" i="13" s="1"/>
  <c r="E337" i="13"/>
  <c r="G337" i="13" s="1"/>
  <c r="L10" i="8" l="1"/>
  <c r="M10" i="8" s="1"/>
  <c r="N10" i="8" s="1"/>
  <c r="Z32" i="3" l="1" a="1"/>
  <c r="Z32" i="3" s="1"/>
  <c r="Y32" i="3" a="1"/>
  <c r="Y32" i="3" s="1"/>
  <c r="X32" i="3" a="1"/>
  <c r="X32" i="3" s="1"/>
  <c r="W32" i="3" a="1"/>
  <c r="W32" i="3" s="1"/>
  <c r="Z31" i="3" a="1"/>
  <c r="Z31" i="3" s="1"/>
  <c r="Y31" i="3" a="1"/>
  <c r="Y31" i="3" s="1"/>
  <c r="X31" i="3" a="1"/>
  <c r="X31" i="3" s="1"/>
  <c r="W31" i="3" a="1"/>
  <c r="W31" i="3" s="1"/>
  <c r="Z30" i="3" a="1"/>
  <c r="Z30" i="3" s="1"/>
  <c r="Y30" i="3" a="1"/>
  <c r="Y30" i="3" s="1"/>
  <c r="X30" i="3" a="1"/>
  <c r="X30" i="3" s="1"/>
  <c r="W30" i="3" a="1"/>
  <c r="W30" i="3" s="1"/>
  <c r="Z29" i="3" a="1"/>
  <c r="Z29" i="3" s="1"/>
  <c r="W29" i="3" a="1"/>
  <c r="W29" i="3" s="1"/>
  <c r="V25" i="3"/>
  <c r="R25" i="3"/>
  <c r="T25" i="3" s="1"/>
  <c r="Q25" i="3"/>
  <c r="S25" i="3" s="1"/>
  <c r="P25" i="3"/>
  <c r="V24" i="3"/>
  <c r="R24" i="3"/>
  <c r="T24" i="3" s="1"/>
  <c r="Q24" i="3"/>
  <c r="S24" i="3" s="1"/>
  <c r="P24" i="3"/>
  <c r="V23" i="3"/>
  <c r="R23" i="3"/>
  <c r="T23" i="3" s="1"/>
  <c r="Q23" i="3"/>
  <c r="S23" i="3" s="1"/>
  <c r="P23" i="3"/>
  <c r="V22" i="3"/>
  <c r="R22" i="3"/>
  <c r="T22" i="3" s="1"/>
  <c r="Q22" i="3"/>
  <c r="S22" i="3" s="1"/>
  <c r="P22" i="3"/>
  <c r="V21" i="3"/>
  <c r="R21" i="3"/>
  <c r="T21" i="3" s="1"/>
  <c r="Q21" i="3"/>
  <c r="S21" i="3" s="1"/>
  <c r="P21" i="3"/>
  <c r="V20" i="3"/>
  <c r="R20" i="3"/>
  <c r="T20" i="3" s="1"/>
  <c r="Q20" i="3"/>
  <c r="S20" i="3" s="1"/>
  <c r="P20" i="3"/>
  <c r="V19" i="3"/>
  <c r="R19" i="3"/>
  <c r="T19" i="3" s="1"/>
  <c r="Q19" i="3"/>
  <c r="S19" i="3" s="1"/>
  <c r="P19" i="3"/>
  <c r="V18" i="3"/>
  <c r="R18" i="3"/>
  <c r="T18" i="3" s="1"/>
  <c r="Q18" i="3"/>
  <c r="S18" i="3" s="1"/>
  <c r="P18" i="3"/>
  <c r="Y29" i="3" l="1" a="1"/>
  <c r="Y29" i="3" s="1"/>
  <c r="X29" i="3" a="1"/>
  <c r="X29" i="3" s="1"/>
  <c r="U25" i="3"/>
  <c r="U19" i="3"/>
  <c r="U24" i="3"/>
  <c r="U18" i="3"/>
  <c r="U23" i="3"/>
  <c r="U21" i="3"/>
  <c r="U22" i="3"/>
  <c r="U20" i="3"/>
  <c r="D10" i="4" l="1"/>
  <c r="C10" i="4"/>
  <c r="K10" i="4"/>
  <c r="E10" i="4"/>
  <c r="J10" i="4" s="1"/>
  <c r="AA8" i="3" s="1"/>
  <c r="F10" i="4"/>
  <c r="C14" i="4"/>
  <c r="K14" i="4"/>
  <c r="C15" i="4"/>
  <c r="AD15" i="4" s="1"/>
  <c r="K15" i="4"/>
  <c r="C16" i="4"/>
  <c r="K16" i="4"/>
  <c r="T16" i="4" s="1"/>
  <c r="C11" i="4"/>
  <c r="AD11" i="4" s="1"/>
  <c r="K11" i="4"/>
  <c r="Q11" i="4" s="1"/>
  <c r="C12" i="4"/>
  <c r="AD12" i="4" s="1"/>
  <c r="K12" i="4"/>
  <c r="H12" i="4"/>
  <c r="I12" i="4" s="1"/>
  <c r="E12" i="4"/>
  <c r="J12" i="4" s="1"/>
  <c r="AA10" i="3" s="1"/>
  <c r="C13" i="4"/>
  <c r="AD13" i="4" s="1"/>
  <c r="K13" i="4"/>
  <c r="C17" i="4"/>
  <c r="K17" i="4"/>
  <c r="C18" i="4"/>
  <c r="K18" i="4"/>
  <c r="T18" i="4" s="1"/>
  <c r="C19" i="4"/>
  <c r="AD19" i="4" s="1"/>
  <c r="K19" i="4"/>
  <c r="T19" i="4" s="1"/>
  <c r="C20" i="4"/>
  <c r="AD20" i="4" s="1"/>
  <c r="K20" i="4"/>
  <c r="C21" i="4"/>
  <c r="K21" i="4"/>
  <c r="Q21" i="4" s="1"/>
  <c r="C22" i="4"/>
  <c r="K22" i="4"/>
  <c r="T22" i="4" s="1"/>
  <c r="C23" i="4"/>
  <c r="AD23" i="4" s="1"/>
  <c r="K23" i="4"/>
  <c r="T23" i="4" s="1"/>
  <c r="C24" i="4"/>
  <c r="K24" i="4"/>
  <c r="Q24" i="4" s="1"/>
  <c r="C25" i="4"/>
  <c r="K25" i="4"/>
  <c r="Y25" i="4" s="1"/>
  <c r="C26" i="4"/>
  <c r="AD26" i="4" s="1"/>
  <c r="K26" i="4"/>
  <c r="C27" i="4"/>
  <c r="K27" i="4"/>
  <c r="T27" i="4" s="1"/>
  <c r="C28" i="4"/>
  <c r="AD28" i="4" s="1"/>
  <c r="K28" i="4"/>
  <c r="T28" i="4" s="1"/>
  <c r="D11" i="4"/>
  <c r="F11" i="4"/>
  <c r="S11" i="4"/>
  <c r="D16" i="4"/>
  <c r="D12" i="4"/>
  <c r="D13" i="4"/>
  <c r="H11" i="4"/>
  <c r="E11" i="4"/>
  <c r="J11" i="4" s="1"/>
  <c r="AA9" i="3" s="1"/>
  <c r="F12" i="4"/>
  <c r="G12" i="4"/>
  <c r="H10" i="14"/>
  <c r="D10" i="14"/>
  <c r="C10" i="14"/>
  <c r="L10" i="14"/>
  <c r="F10" i="14"/>
  <c r="C14" i="14"/>
  <c r="AE14" i="14" s="1"/>
  <c r="L14" i="14"/>
  <c r="C15" i="14"/>
  <c r="AE15" i="14" s="1"/>
  <c r="L15" i="14"/>
  <c r="C16" i="14"/>
  <c r="AE16" i="14" s="1"/>
  <c r="L16" i="14"/>
  <c r="Y16" i="14" s="1"/>
  <c r="C11" i="14"/>
  <c r="L11" i="14"/>
  <c r="Y11" i="14" s="1"/>
  <c r="C12" i="14"/>
  <c r="AE12" i="14" s="1"/>
  <c r="L12" i="14"/>
  <c r="Y12" i="14" s="1"/>
  <c r="H12" i="14"/>
  <c r="E12" i="14"/>
  <c r="K12" i="14" s="1"/>
  <c r="C13" i="14"/>
  <c r="AE13" i="14" s="1"/>
  <c r="L13" i="14"/>
  <c r="C17" i="14"/>
  <c r="L17" i="14"/>
  <c r="R17" i="14" s="1"/>
  <c r="C18" i="14"/>
  <c r="L18" i="14"/>
  <c r="C19" i="14"/>
  <c r="L19" i="14"/>
  <c r="R19" i="14" s="1"/>
  <c r="C20" i="14"/>
  <c r="AE20" i="14" s="1"/>
  <c r="L20" i="14"/>
  <c r="Y20" i="14" s="1"/>
  <c r="C21" i="14"/>
  <c r="L21" i="14"/>
  <c r="C22" i="14"/>
  <c r="L22" i="14"/>
  <c r="Y22" i="14" s="1"/>
  <c r="C23" i="14"/>
  <c r="AE23" i="14" s="1"/>
  <c r="L23" i="14"/>
  <c r="U23" i="14" s="1"/>
  <c r="C24" i="14"/>
  <c r="AE24" i="14" s="1"/>
  <c r="L24" i="14"/>
  <c r="U24" i="14" s="1"/>
  <c r="C25" i="14"/>
  <c r="AE25" i="14" s="1"/>
  <c r="L25" i="14"/>
  <c r="R25" i="14" s="1"/>
  <c r="C26" i="14"/>
  <c r="L26" i="14"/>
  <c r="R26" i="14" s="1"/>
  <c r="C27" i="14"/>
  <c r="AE27" i="14" s="1"/>
  <c r="L27" i="14"/>
  <c r="U27" i="14" s="1"/>
  <c r="C28" i="14"/>
  <c r="AE28" i="14" s="1"/>
  <c r="L28" i="14"/>
  <c r="U28" i="14" s="1"/>
  <c r="D11" i="14"/>
  <c r="F11" i="14"/>
  <c r="T11" i="14"/>
  <c r="D16" i="14"/>
  <c r="D12" i="14"/>
  <c r="D13" i="14"/>
  <c r="H11" i="14"/>
  <c r="I11" i="14" s="1"/>
  <c r="E11" i="14"/>
  <c r="K11" i="14" s="1"/>
  <c r="F12" i="14"/>
  <c r="G12" i="14"/>
  <c r="D14" i="8"/>
  <c r="L14" i="8"/>
  <c r="L15" i="8"/>
  <c r="M15" i="8" s="1"/>
  <c r="D16" i="8"/>
  <c r="L16" i="8"/>
  <c r="D11" i="8"/>
  <c r="M11" i="8" s="1"/>
  <c r="K11" i="8"/>
  <c r="AG10" i="8"/>
  <c r="D12" i="8"/>
  <c r="AO12" i="8" s="1"/>
  <c r="L12" i="8"/>
  <c r="F12" i="8"/>
  <c r="K12" i="8" s="1"/>
  <c r="I12" i="8"/>
  <c r="E12" i="8"/>
  <c r="D13" i="8"/>
  <c r="L13" i="8"/>
  <c r="D17" i="8"/>
  <c r="L17" i="8"/>
  <c r="D18" i="8"/>
  <c r="L18" i="8"/>
  <c r="D19" i="8"/>
  <c r="L19" i="8"/>
  <c r="D20" i="8"/>
  <c r="L20" i="8"/>
  <c r="D21" i="8"/>
  <c r="L21" i="8"/>
  <c r="D22" i="8"/>
  <c r="L22" i="8"/>
  <c r="D23" i="8"/>
  <c r="L23" i="8"/>
  <c r="D24" i="8"/>
  <c r="L24" i="8"/>
  <c r="D25" i="8"/>
  <c r="L25" i="8"/>
  <c r="D26" i="8"/>
  <c r="L26" i="8"/>
  <c r="D27" i="8"/>
  <c r="L27" i="8"/>
  <c r="D28" i="8"/>
  <c r="L28" i="8"/>
  <c r="G10" i="8"/>
  <c r="O10" i="8" s="1"/>
  <c r="G11" i="8"/>
  <c r="G12" i="8"/>
  <c r="H12" i="8"/>
  <c r="H13" i="14"/>
  <c r="E13" i="14"/>
  <c r="K13" i="14" s="1"/>
  <c r="H13" i="4"/>
  <c r="I13" i="4" s="1"/>
  <c r="E13" i="4"/>
  <c r="J13" i="4" s="1"/>
  <c r="AA11" i="3" s="1"/>
  <c r="F13" i="8"/>
  <c r="K13" i="8" s="1"/>
  <c r="F13" i="14"/>
  <c r="E14" i="14"/>
  <c r="K14" i="14" s="1"/>
  <c r="E15" i="14"/>
  <c r="K15" i="14" s="1"/>
  <c r="E16" i="14"/>
  <c r="K16" i="14" s="1"/>
  <c r="E17" i="14"/>
  <c r="K17" i="14" s="1"/>
  <c r="E18" i="14"/>
  <c r="K18" i="14" s="1"/>
  <c r="E19" i="14"/>
  <c r="E20" i="14"/>
  <c r="E21" i="14"/>
  <c r="E22" i="14"/>
  <c r="E23" i="14"/>
  <c r="E24" i="14"/>
  <c r="E25" i="14"/>
  <c r="E26" i="14"/>
  <c r="E27" i="14"/>
  <c r="E28" i="14"/>
  <c r="F13" i="4"/>
  <c r="E14" i="4"/>
  <c r="J14" i="4" s="1"/>
  <c r="AA12" i="3" s="1"/>
  <c r="E15" i="4"/>
  <c r="J15" i="4" s="1"/>
  <c r="AA13" i="3" s="1"/>
  <c r="E16" i="4"/>
  <c r="J16" i="4" s="1"/>
  <c r="AA14" i="3" s="1"/>
  <c r="E17" i="4"/>
  <c r="J17" i="4" s="1"/>
  <c r="AA15" i="3" s="1"/>
  <c r="E18" i="4"/>
  <c r="J18" i="4" s="1"/>
  <c r="AA16" i="3" s="1"/>
  <c r="E19" i="4"/>
  <c r="E20" i="4"/>
  <c r="E21" i="4"/>
  <c r="E22" i="4"/>
  <c r="E23" i="4"/>
  <c r="E24" i="4"/>
  <c r="E25" i="4"/>
  <c r="E26" i="4"/>
  <c r="E27" i="4"/>
  <c r="E28" i="4"/>
  <c r="G13" i="8"/>
  <c r="F14" i="8"/>
  <c r="K14" i="8" s="1"/>
  <c r="F15" i="8"/>
  <c r="K15" i="8" s="1"/>
  <c r="F16" i="8"/>
  <c r="K16" i="8" s="1"/>
  <c r="F17" i="8"/>
  <c r="K17" i="8" s="1"/>
  <c r="F18" i="8"/>
  <c r="K18" i="8" s="1"/>
  <c r="F19" i="8"/>
  <c r="F20" i="8"/>
  <c r="F21" i="8"/>
  <c r="F22" i="8"/>
  <c r="F23" i="8"/>
  <c r="F24" i="8"/>
  <c r="F25" i="8"/>
  <c r="F26" i="8"/>
  <c r="F27" i="8"/>
  <c r="F28" i="8"/>
  <c r="O60" i="18"/>
  <c r="P60" i="18" s="1"/>
  <c r="O61" i="18"/>
  <c r="P61" i="18" s="1"/>
  <c r="O62" i="18"/>
  <c r="P62" i="18" s="1"/>
  <c r="O63" i="18"/>
  <c r="P63" i="18" s="1"/>
  <c r="O64" i="18"/>
  <c r="P64" i="18" s="1"/>
  <c r="O65" i="18"/>
  <c r="P65" i="18" s="1"/>
  <c r="O66" i="18"/>
  <c r="P66" i="18" s="1"/>
  <c r="O67" i="18"/>
  <c r="P67" i="18" s="1"/>
  <c r="O68" i="18"/>
  <c r="P68" i="18" s="1"/>
  <c r="O69" i="18"/>
  <c r="P69" i="18" s="1"/>
  <c r="O70" i="18"/>
  <c r="P70" i="18" s="1"/>
  <c r="O71" i="18"/>
  <c r="P71" i="18" s="1"/>
  <c r="O72" i="18"/>
  <c r="P72" i="18" s="1"/>
  <c r="O73" i="18"/>
  <c r="P73" i="18" s="1"/>
  <c r="O74" i="18"/>
  <c r="P74" i="18" s="1"/>
  <c r="O75" i="18"/>
  <c r="P75" i="18" s="1"/>
  <c r="G11" i="4"/>
  <c r="G13" i="4"/>
  <c r="D14" i="4"/>
  <c r="F14" i="4"/>
  <c r="G14" i="4"/>
  <c r="AF14" i="4" s="1"/>
  <c r="D15" i="4"/>
  <c r="F15" i="4"/>
  <c r="G15" i="4"/>
  <c r="AF15" i="4" s="1"/>
  <c r="F16" i="4"/>
  <c r="G16" i="4"/>
  <c r="AF16" i="4" s="1"/>
  <c r="G11" i="14"/>
  <c r="G13" i="14"/>
  <c r="D14" i="14"/>
  <c r="F14" i="14"/>
  <c r="G14" i="14"/>
  <c r="AG14" i="14" s="1"/>
  <c r="D15" i="14"/>
  <c r="F15" i="14"/>
  <c r="G15" i="14"/>
  <c r="AG15" i="14" s="1"/>
  <c r="F16" i="14"/>
  <c r="G16" i="14"/>
  <c r="AG16" i="14" s="1"/>
  <c r="E10" i="8"/>
  <c r="AO10" i="8" s="1"/>
  <c r="I13" i="8"/>
  <c r="E13" i="8"/>
  <c r="E11" i="8"/>
  <c r="G15" i="8"/>
  <c r="G16" i="8"/>
  <c r="E16" i="8"/>
  <c r="H11" i="8"/>
  <c r="H13" i="8"/>
  <c r="E14" i="8"/>
  <c r="G14" i="8"/>
  <c r="H14" i="8"/>
  <c r="AQ14" i="8" s="1"/>
  <c r="E15" i="8"/>
  <c r="H15" i="8"/>
  <c r="AQ15" i="8" s="1"/>
  <c r="H16" i="8"/>
  <c r="AQ16" i="8" s="1"/>
  <c r="J60" i="18"/>
  <c r="K60" i="18"/>
  <c r="J61" i="18"/>
  <c r="K61" i="18"/>
  <c r="J62" i="18"/>
  <c r="K62" i="18"/>
  <c r="J63" i="18"/>
  <c r="K63" i="18"/>
  <c r="J64" i="18"/>
  <c r="K64" i="18"/>
  <c r="J65" i="18"/>
  <c r="K65" i="18"/>
  <c r="J66" i="18"/>
  <c r="K66" i="18"/>
  <c r="J67" i="18"/>
  <c r="K67" i="18"/>
  <c r="J68" i="18"/>
  <c r="K68" i="18"/>
  <c r="J69" i="18"/>
  <c r="K69" i="18"/>
  <c r="J70" i="18"/>
  <c r="K70" i="18"/>
  <c r="J71" i="18"/>
  <c r="K71" i="18"/>
  <c r="J72" i="18"/>
  <c r="K72" i="18"/>
  <c r="J73" i="18"/>
  <c r="K73" i="18"/>
  <c r="J74" i="18"/>
  <c r="K74" i="18"/>
  <c r="J75" i="18"/>
  <c r="K75" i="18"/>
  <c r="G10" i="14"/>
  <c r="G17" i="14"/>
  <c r="AG17" i="14" s="1"/>
  <c r="G18" i="14"/>
  <c r="AG18" i="14" s="1"/>
  <c r="G19" i="14"/>
  <c r="AG19" i="14" s="1"/>
  <c r="G20" i="14"/>
  <c r="AG20" i="14" s="1"/>
  <c r="G21" i="14"/>
  <c r="AG21" i="14" s="1"/>
  <c r="G22" i="14"/>
  <c r="AG22" i="14" s="1"/>
  <c r="G23" i="14"/>
  <c r="AG23" i="14" s="1"/>
  <c r="G24" i="14"/>
  <c r="AG24" i="14" s="1"/>
  <c r="G25" i="14"/>
  <c r="AG25" i="14" s="1"/>
  <c r="G26" i="14"/>
  <c r="AG26" i="14" s="1"/>
  <c r="G27" i="14"/>
  <c r="AG27" i="14" s="1"/>
  <c r="G28" i="14"/>
  <c r="AG28" i="14" s="1"/>
  <c r="G10" i="4"/>
  <c r="G17" i="4"/>
  <c r="AF17" i="4" s="1"/>
  <c r="G18" i="4"/>
  <c r="AF18" i="4" s="1"/>
  <c r="G19" i="4"/>
  <c r="AF19" i="4" s="1"/>
  <c r="G20" i="4"/>
  <c r="AF20" i="4" s="1"/>
  <c r="G21" i="4"/>
  <c r="AF21" i="4" s="1"/>
  <c r="G22" i="4"/>
  <c r="AF22" i="4" s="1"/>
  <c r="G23" i="4"/>
  <c r="AF23" i="4" s="1"/>
  <c r="G24" i="4"/>
  <c r="AF24" i="4" s="1"/>
  <c r="G25" i="4"/>
  <c r="AF25" i="4" s="1"/>
  <c r="G26" i="4"/>
  <c r="AF26" i="4" s="1"/>
  <c r="G27" i="4"/>
  <c r="AF27" i="4" s="1"/>
  <c r="G28" i="4"/>
  <c r="AF28" i="4" s="1"/>
  <c r="H10" i="8"/>
  <c r="H17" i="8"/>
  <c r="AQ17" i="8" s="1"/>
  <c r="H18" i="8"/>
  <c r="AQ18" i="8" s="1"/>
  <c r="H19" i="8"/>
  <c r="AQ19" i="8" s="1"/>
  <c r="H20" i="8"/>
  <c r="AQ20" i="8" s="1"/>
  <c r="H21" i="8"/>
  <c r="AQ21" i="8" s="1"/>
  <c r="H22" i="8"/>
  <c r="AQ22" i="8" s="1"/>
  <c r="H23" i="8"/>
  <c r="AQ23" i="8" s="1"/>
  <c r="H24" i="8"/>
  <c r="AQ24" i="8" s="1"/>
  <c r="H25" i="8"/>
  <c r="AQ25" i="8" s="1"/>
  <c r="H26" i="8"/>
  <c r="AQ26" i="8" s="1"/>
  <c r="H27" i="8"/>
  <c r="AQ27" i="8" s="1"/>
  <c r="H28" i="8"/>
  <c r="AQ28" i="8" s="1"/>
  <c r="E383" i="11"/>
  <c r="E384" i="11"/>
  <c r="E385" i="11"/>
  <c r="E386" i="11"/>
  <c r="E387" i="11"/>
  <c r="E388" i="11"/>
  <c r="E389" i="11"/>
  <c r="E390" i="11"/>
  <c r="E391" i="11"/>
  <c r="E392" i="11"/>
  <c r="E393" i="11"/>
  <c r="E394" i="11"/>
  <c r="E395" i="11"/>
  <c r="E382" i="11"/>
  <c r="I60" i="18"/>
  <c r="I61" i="18"/>
  <c r="I62" i="18"/>
  <c r="I63" i="18"/>
  <c r="I64" i="18"/>
  <c r="I65" i="18"/>
  <c r="I66" i="18"/>
  <c r="I67" i="18"/>
  <c r="I68" i="18"/>
  <c r="I69" i="18"/>
  <c r="I70" i="18"/>
  <c r="I71" i="18"/>
  <c r="I72" i="18"/>
  <c r="I73" i="18"/>
  <c r="I74" i="18"/>
  <c r="I75" i="18"/>
  <c r="C356" i="11"/>
  <c r="C355" i="11"/>
  <c r="C360" i="11"/>
  <c r="C358" i="11"/>
  <c r="C357" i="11"/>
  <c r="C354" i="11"/>
  <c r="C353" i="11"/>
  <c r="C350" i="11"/>
  <c r="C347" i="11"/>
  <c r="C343" i="11"/>
  <c r="C340" i="11"/>
  <c r="H15" i="4"/>
  <c r="I15" i="4" s="1"/>
  <c r="H15" i="14"/>
  <c r="I15" i="14" s="1"/>
  <c r="I15" i="8"/>
  <c r="C5" i="17"/>
  <c r="F5" i="17" s="1"/>
  <c r="E5" i="17"/>
  <c r="C6" i="17"/>
  <c r="F6" i="17" s="1"/>
  <c r="E6" i="17"/>
  <c r="C7" i="17"/>
  <c r="F7" i="17" s="1"/>
  <c r="E7" i="17"/>
  <c r="C8" i="17"/>
  <c r="F8" i="17" s="1"/>
  <c r="E8" i="17"/>
  <c r="C9" i="17"/>
  <c r="F9" i="17" s="1"/>
  <c r="E9" i="17"/>
  <c r="C10" i="17"/>
  <c r="F10" i="17" s="1"/>
  <c r="E10" i="17"/>
  <c r="C11" i="17"/>
  <c r="F11" i="17" s="1"/>
  <c r="E11" i="17"/>
  <c r="C12" i="17"/>
  <c r="F12" i="17" s="1"/>
  <c r="E12" i="17"/>
  <c r="C13" i="17"/>
  <c r="F13" i="17" s="1"/>
  <c r="E13" i="17"/>
  <c r="C14" i="17"/>
  <c r="F14" i="17" s="1"/>
  <c r="E14" i="17"/>
  <c r="C15" i="17"/>
  <c r="F15" i="17" s="1"/>
  <c r="E15" i="17"/>
  <c r="C16" i="17"/>
  <c r="F16" i="17" s="1"/>
  <c r="E16" i="17"/>
  <c r="C17" i="17"/>
  <c r="F17" i="17" s="1"/>
  <c r="E17" i="17"/>
  <c r="C18" i="17"/>
  <c r="F18" i="17" s="1"/>
  <c r="E18" i="17"/>
  <c r="C19" i="17"/>
  <c r="F19" i="17" s="1"/>
  <c r="E19" i="17"/>
  <c r="C20" i="17"/>
  <c r="F20" i="17" s="1"/>
  <c r="E20" i="17"/>
  <c r="C21" i="17"/>
  <c r="F21" i="17" s="1"/>
  <c r="E21" i="17"/>
  <c r="C22" i="17"/>
  <c r="F22" i="17" s="1"/>
  <c r="E22" i="17"/>
  <c r="C23" i="17"/>
  <c r="F23" i="17" s="1"/>
  <c r="E23" i="17"/>
  <c r="C24" i="17"/>
  <c r="F24" i="17" s="1"/>
  <c r="E24" i="17"/>
  <c r="C25" i="17"/>
  <c r="F25" i="17" s="1"/>
  <c r="E25" i="17"/>
  <c r="C26" i="17"/>
  <c r="F26" i="17" s="1"/>
  <c r="E26" i="17"/>
  <c r="C27" i="17"/>
  <c r="F27" i="17" s="1"/>
  <c r="E27" i="17"/>
  <c r="C28" i="17"/>
  <c r="F28" i="17" s="1"/>
  <c r="E28" i="17"/>
  <c r="D5" i="17"/>
  <c r="D6" i="17"/>
  <c r="D7" i="17"/>
  <c r="D8" i="17"/>
  <c r="D9" i="17"/>
  <c r="D10" i="17"/>
  <c r="D11" i="17"/>
  <c r="D12" i="17"/>
  <c r="D13" i="17"/>
  <c r="D14" i="17"/>
  <c r="D15" i="17"/>
  <c r="D16" i="17"/>
  <c r="D17" i="17"/>
  <c r="D18" i="17"/>
  <c r="D19" i="17"/>
  <c r="D20" i="17"/>
  <c r="D21" i="17"/>
  <c r="D22" i="17"/>
  <c r="D23" i="17"/>
  <c r="D24" i="17"/>
  <c r="D25" i="17"/>
  <c r="D26" i="17"/>
  <c r="D27" i="17"/>
  <c r="D28" i="17"/>
  <c r="T10" i="14"/>
  <c r="S10" i="4"/>
  <c r="J11" i="8"/>
  <c r="J12" i="8"/>
  <c r="J13" i="8"/>
  <c r="J14" i="8"/>
  <c r="J15" i="8"/>
  <c r="J16" i="8"/>
  <c r="J17" i="8"/>
  <c r="J18" i="8"/>
  <c r="J19" i="8"/>
  <c r="J20" i="8"/>
  <c r="J21" i="8"/>
  <c r="J22" i="8"/>
  <c r="J23" i="8"/>
  <c r="J24" i="8"/>
  <c r="J25" i="8"/>
  <c r="J26" i="8"/>
  <c r="J27" i="8"/>
  <c r="J28" i="8"/>
  <c r="B84" i="10"/>
  <c r="D84" i="10" s="1"/>
  <c r="I11" i="8"/>
  <c r="K19" i="14"/>
  <c r="K20" i="14"/>
  <c r="K21" i="14"/>
  <c r="K22" i="14"/>
  <c r="K23" i="14"/>
  <c r="K24" i="14"/>
  <c r="K25" i="14"/>
  <c r="K26" i="14"/>
  <c r="K27" i="14"/>
  <c r="K28" i="14"/>
  <c r="H26" i="14"/>
  <c r="J26" i="14" s="1"/>
  <c r="Y24" i="3" s="1" a="1"/>
  <c r="Y24" i="3" s="1"/>
  <c r="J19" i="4"/>
  <c r="AA17" i="3" s="1"/>
  <c r="J20" i="4"/>
  <c r="AA18" i="3" s="1"/>
  <c r="J21" i="4"/>
  <c r="AA19" i="3" s="1"/>
  <c r="J22" i="4"/>
  <c r="AA20" i="3" s="1"/>
  <c r="J23" i="4"/>
  <c r="AA21" i="3" s="1"/>
  <c r="J24" i="4"/>
  <c r="AA22" i="3" s="1"/>
  <c r="J25" i="4"/>
  <c r="AA23" i="3" s="1"/>
  <c r="J26" i="4"/>
  <c r="AA24" i="3" s="1"/>
  <c r="J27" i="4"/>
  <c r="AA25" i="3" s="1"/>
  <c r="J28" i="4"/>
  <c r="AA26" i="3" s="1"/>
  <c r="K19" i="8"/>
  <c r="K20" i="8"/>
  <c r="K21" i="8"/>
  <c r="K22" i="8"/>
  <c r="K23" i="8"/>
  <c r="K24" i="8"/>
  <c r="K25" i="8"/>
  <c r="K26" i="8"/>
  <c r="K27" i="8"/>
  <c r="K28" i="8"/>
  <c r="S13" i="4"/>
  <c r="T13" i="14"/>
  <c r="H14" i="4"/>
  <c r="I14" i="4" s="1"/>
  <c r="H14" i="14"/>
  <c r="I14" i="8"/>
  <c r="H16" i="4"/>
  <c r="I16" i="4" s="1"/>
  <c r="H16" i="14"/>
  <c r="S17" i="4"/>
  <c r="H17" i="4"/>
  <c r="I17" i="4" s="1"/>
  <c r="T17" i="14"/>
  <c r="H17" i="14"/>
  <c r="I17" i="8"/>
  <c r="I18" i="8"/>
  <c r="I19" i="8"/>
  <c r="I20" i="8"/>
  <c r="I21" i="8"/>
  <c r="I22" i="8"/>
  <c r="I23" i="8"/>
  <c r="I24" i="8"/>
  <c r="I25" i="8"/>
  <c r="I26" i="8"/>
  <c r="I27" i="8"/>
  <c r="I28" i="8"/>
  <c r="S14" i="4"/>
  <c r="T14" i="14"/>
  <c r="D17" i="14"/>
  <c r="H18" i="14"/>
  <c r="H19" i="14"/>
  <c r="H20" i="14"/>
  <c r="J20" i="14" s="1"/>
  <c r="Y18" i="3" s="1" a="1"/>
  <c r="Y18" i="3" s="1"/>
  <c r="H21" i="14"/>
  <c r="J21" i="14" s="1"/>
  <c r="Y19" i="3" s="1" a="1"/>
  <c r="Y19" i="3" s="1"/>
  <c r="H22" i="14"/>
  <c r="H23" i="14"/>
  <c r="H24" i="14"/>
  <c r="I24" i="14" s="1"/>
  <c r="H25" i="14"/>
  <c r="J25" i="14" s="1"/>
  <c r="Y23" i="3" s="1" a="1"/>
  <c r="Y23" i="3" s="1"/>
  <c r="H27" i="14"/>
  <c r="J27" i="14" s="1"/>
  <c r="H28" i="14"/>
  <c r="I28" i="14" s="1"/>
  <c r="T12" i="14"/>
  <c r="T15" i="14"/>
  <c r="T16" i="14"/>
  <c r="F17" i="14"/>
  <c r="D18" i="14"/>
  <c r="F18" i="14"/>
  <c r="T18" i="14"/>
  <c r="D19" i="14"/>
  <c r="F19" i="14"/>
  <c r="T19" i="14"/>
  <c r="D20" i="14"/>
  <c r="F20" i="14"/>
  <c r="T20" i="14"/>
  <c r="D21" i="14"/>
  <c r="F21" i="14"/>
  <c r="T21" i="14"/>
  <c r="D22" i="14"/>
  <c r="F22" i="14"/>
  <c r="T22" i="14"/>
  <c r="D23" i="14"/>
  <c r="F23" i="14"/>
  <c r="T23" i="14"/>
  <c r="D24" i="14"/>
  <c r="F24" i="14"/>
  <c r="T24" i="14"/>
  <c r="D25" i="14"/>
  <c r="F25" i="14"/>
  <c r="T25" i="14"/>
  <c r="D26" i="14"/>
  <c r="F26" i="14"/>
  <c r="T26" i="14"/>
  <c r="D27" i="14"/>
  <c r="F27" i="14"/>
  <c r="T27" i="14"/>
  <c r="D28" i="14"/>
  <c r="F28" i="14"/>
  <c r="T28" i="14"/>
  <c r="D24" i="4"/>
  <c r="H24" i="4"/>
  <c r="I24" i="4" s="1"/>
  <c r="X22" i="3" s="1" a="1"/>
  <c r="X22" i="3" s="1"/>
  <c r="D22" i="4"/>
  <c r="F22" i="4"/>
  <c r="S22" i="4"/>
  <c r="D18" i="4"/>
  <c r="F18" i="4"/>
  <c r="F24" i="4"/>
  <c r="E24" i="8"/>
  <c r="G24" i="8"/>
  <c r="G22" i="8"/>
  <c r="E22" i="8"/>
  <c r="G18" i="8"/>
  <c r="E18" i="8"/>
  <c r="S24" i="4"/>
  <c r="S25" i="4"/>
  <c r="S26" i="4"/>
  <c r="S27" i="4"/>
  <c r="S28" i="4"/>
  <c r="S12" i="4"/>
  <c r="S15" i="4"/>
  <c r="S16" i="4"/>
  <c r="S18" i="4"/>
  <c r="S19" i="4"/>
  <c r="S20" i="4"/>
  <c r="S21" i="4"/>
  <c r="S23" i="4"/>
  <c r="B211" i="10"/>
  <c r="E211" i="10" s="1"/>
  <c r="B94" i="10"/>
  <c r="E94" i="10" s="1"/>
  <c r="D17" i="4"/>
  <c r="H18" i="4"/>
  <c r="I18" i="4" s="1"/>
  <c r="H19" i="4"/>
  <c r="I19" i="4" s="1"/>
  <c r="H20" i="4"/>
  <c r="I20" i="4" s="1"/>
  <c r="H21" i="4"/>
  <c r="I21" i="4" s="1"/>
  <c r="H22" i="4"/>
  <c r="I22" i="4" s="1"/>
  <c r="H23" i="4"/>
  <c r="I23" i="4" s="1"/>
  <c r="X21" i="3" s="1" a="1"/>
  <c r="X21" i="3" s="1"/>
  <c r="H25" i="4"/>
  <c r="I25" i="4" s="1"/>
  <c r="X23" i="3" s="1" a="1"/>
  <c r="X23" i="3" s="1"/>
  <c r="H26" i="4"/>
  <c r="I26" i="4" s="1"/>
  <c r="X24" i="3" s="1" a="1"/>
  <c r="X24" i="3" s="1"/>
  <c r="H27" i="4"/>
  <c r="I27" i="4" s="1"/>
  <c r="H28" i="4"/>
  <c r="I28" i="4" s="1"/>
  <c r="X26" i="3" s="1" a="1"/>
  <c r="X26" i="3" s="1"/>
  <c r="F17" i="4"/>
  <c r="F19" i="4"/>
  <c r="F20" i="4"/>
  <c r="F21" i="4"/>
  <c r="F23" i="4"/>
  <c r="F25" i="4"/>
  <c r="F26" i="4"/>
  <c r="F27" i="4"/>
  <c r="F28" i="4"/>
  <c r="D19" i="4"/>
  <c r="D20" i="4"/>
  <c r="D21" i="4"/>
  <c r="D23" i="4"/>
  <c r="D25" i="4"/>
  <c r="D26" i="4"/>
  <c r="D27" i="4"/>
  <c r="D28" i="4"/>
  <c r="E17" i="8"/>
  <c r="E19" i="8"/>
  <c r="E20" i="8"/>
  <c r="E21" i="8"/>
  <c r="E23" i="8"/>
  <c r="E25" i="8"/>
  <c r="E26" i="8"/>
  <c r="E27" i="8"/>
  <c r="E28" i="8"/>
  <c r="G20" i="8"/>
  <c r="G17" i="8"/>
  <c r="G19" i="8"/>
  <c r="G21" i="8"/>
  <c r="G23" i="8"/>
  <c r="G25" i="8"/>
  <c r="G26" i="8"/>
  <c r="G27" i="8"/>
  <c r="G28" i="8"/>
  <c r="B207" i="10"/>
  <c r="D207" i="10" s="1"/>
  <c r="B134" i="10"/>
  <c r="E134" i="10" s="1"/>
  <c r="B129" i="10"/>
  <c r="D129" i="10" s="1"/>
  <c r="B124" i="10"/>
  <c r="D124" i="10" s="1"/>
  <c r="B119" i="10"/>
  <c r="E119" i="10" s="1"/>
  <c r="B114" i="10"/>
  <c r="D114" i="10" s="1"/>
  <c r="B109" i="10"/>
  <c r="E109" i="10" s="1"/>
  <c r="B104" i="10"/>
  <c r="D104" i="10" s="1"/>
  <c r="B99" i="10"/>
  <c r="D99" i="10" s="1"/>
  <c r="B89" i="10"/>
  <c r="D89" i="10" s="1"/>
  <c r="I11" i="4"/>
  <c r="I10" i="4"/>
  <c r="G5" i="17"/>
  <c r="G6" i="17"/>
  <c r="G13" i="17"/>
  <c r="G7" i="17"/>
  <c r="G14" i="17"/>
  <c r="G9" i="17"/>
  <c r="G11" i="17"/>
  <c r="G27" i="17"/>
  <c r="G17" i="17"/>
  <c r="G21" i="17"/>
  <c r="G12" i="17"/>
  <c r="G28" i="17"/>
  <c r="G26" i="17"/>
  <c r="G19" i="17"/>
  <c r="G8" i="17"/>
  <c r="G15" i="17"/>
  <c r="G24" i="17"/>
  <c r="G18" i="17"/>
  <c r="G23" i="17"/>
  <c r="G16" i="17"/>
  <c r="G22" i="17"/>
  <c r="G25" i="17"/>
  <c r="G20" i="17"/>
  <c r="G10" i="17"/>
  <c r="X25" i="3" l="1" a="1"/>
  <c r="X25" i="3" s="1"/>
  <c r="X20" i="3" a="1"/>
  <c r="X20" i="3" s="1"/>
  <c r="Y25" i="3" a="1"/>
  <c r="Y25" i="3" s="1"/>
  <c r="X18" i="3" a="1"/>
  <c r="X18" i="3" s="1"/>
  <c r="X19" i="3" a="1"/>
  <c r="X19" i="3" s="1"/>
  <c r="W24" i="3" a="1"/>
  <c r="W24" i="3" s="1"/>
  <c r="Z24" i="3" a="1"/>
  <c r="Z24" i="3" s="1"/>
  <c r="W26" i="3" a="1"/>
  <c r="W26" i="3" s="1"/>
  <c r="Z26" i="3" a="1"/>
  <c r="Z26" i="3" s="1"/>
  <c r="W19" i="3" a="1"/>
  <c r="W19" i="3" s="1"/>
  <c r="Z19" i="3" a="1"/>
  <c r="Z19" i="3" s="1"/>
  <c r="Z23" i="3" a="1"/>
  <c r="Z23" i="3" s="1"/>
  <c r="W23" i="3" a="1"/>
  <c r="W23" i="3" s="1"/>
  <c r="W22" i="3" a="1"/>
  <c r="W22" i="3" s="1"/>
  <c r="Z22" i="3" a="1"/>
  <c r="Z22" i="3" s="1"/>
  <c r="W18" i="3" a="1"/>
  <c r="W18" i="3" s="1"/>
  <c r="Z18" i="3" a="1"/>
  <c r="Z18" i="3" s="1"/>
  <c r="W25" i="3" a="1"/>
  <c r="W25" i="3" s="1"/>
  <c r="Z25" i="3" a="1"/>
  <c r="Z25" i="3" s="1"/>
  <c r="W20" i="3" a="1"/>
  <c r="W20" i="3" s="1"/>
  <c r="Z20" i="3" a="1"/>
  <c r="Z20" i="3" s="1"/>
  <c r="W21" i="3" a="1"/>
  <c r="W21" i="3" s="1"/>
  <c r="Z21" i="3" a="1"/>
  <c r="Z21" i="3" s="1"/>
  <c r="M12" i="8"/>
  <c r="N12" i="8" s="1"/>
  <c r="AO28" i="8"/>
  <c r="M28" i="8"/>
  <c r="AO18" i="8"/>
  <c r="M18" i="8"/>
  <c r="AO27" i="8"/>
  <c r="M27" i="8"/>
  <c r="AO17" i="8"/>
  <c r="M17" i="8"/>
  <c r="AO26" i="8"/>
  <c r="M26" i="8"/>
  <c r="AO13" i="8"/>
  <c r="M13" i="8"/>
  <c r="AO25" i="8"/>
  <c r="M25" i="8"/>
  <c r="AO22" i="8"/>
  <c r="M22" i="8"/>
  <c r="O11" i="8"/>
  <c r="P11" i="8" s="1"/>
  <c r="N11" i="8"/>
  <c r="AO21" i="8"/>
  <c r="M21" i="8"/>
  <c r="AO16" i="8"/>
  <c r="M16" i="8"/>
  <c r="N15" i="8"/>
  <c r="O15" i="8"/>
  <c r="P15" i="8" s="1"/>
  <c r="AO20" i="8"/>
  <c r="M20" i="8"/>
  <c r="AO24" i="8"/>
  <c r="M24" i="8"/>
  <c r="AO23" i="8"/>
  <c r="M23" i="8"/>
  <c r="AO14" i="8"/>
  <c r="M14" i="8"/>
  <c r="AO19" i="8"/>
  <c r="M19" i="8"/>
  <c r="P10" i="8"/>
  <c r="R10" i="8" s="1"/>
  <c r="AE10" i="14"/>
  <c r="AD10" i="4"/>
  <c r="AE11" i="14"/>
  <c r="AD17" i="14"/>
  <c r="AH17" i="14" s="1"/>
  <c r="AE17" i="14"/>
  <c r="AD26" i="14"/>
  <c r="AH26" i="14" s="1"/>
  <c r="AE26" i="14"/>
  <c r="AD22" i="14"/>
  <c r="AF22" i="14" s="1"/>
  <c r="AE22" i="14"/>
  <c r="AD21" i="14"/>
  <c r="AF21" i="14" s="1"/>
  <c r="AE21" i="14"/>
  <c r="AO11" i="8"/>
  <c r="AD19" i="14"/>
  <c r="AH19" i="14" s="1"/>
  <c r="AE19" i="14"/>
  <c r="AD18" i="14"/>
  <c r="AF18" i="14" s="1"/>
  <c r="AE18" i="14"/>
  <c r="AC22" i="4"/>
  <c r="AG22" i="4" s="1"/>
  <c r="AD22" i="4"/>
  <c r="AC16" i="4"/>
  <c r="AE16" i="4" s="1"/>
  <c r="AD16" i="4"/>
  <c r="AC25" i="4"/>
  <c r="AG25" i="4" s="1"/>
  <c r="AD25" i="4"/>
  <c r="AC14" i="4"/>
  <c r="AE14" i="4" s="1"/>
  <c r="AD14" i="4"/>
  <c r="AC24" i="4"/>
  <c r="AE24" i="4" s="1"/>
  <c r="AD24" i="4"/>
  <c r="AC21" i="4"/>
  <c r="AG21" i="4" s="1"/>
  <c r="AD21" i="4"/>
  <c r="AC18" i="4"/>
  <c r="AG18" i="4" s="1"/>
  <c r="AD18" i="4"/>
  <c r="AC27" i="4"/>
  <c r="AE27" i="4" s="1"/>
  <c r="AD27" i="4"/>
  <c r="AC17" i="4"/>
  <c r="AE17" i="4" s="1"/>
  <c r="AD17" i="4"/>
  <c r="AC11" i="4"/>
  <c r="AE11" i="4" s="1"/>
  <c r="AN27" i="8"/>
  <c r="AR27" i="8" s="1"/>
  <c r="AS27" i="8" s="1"/>
  <c r="AN17" i="8"/>
  <c r="AR17" i="8" s="1"/>
  <c r="AS17" i="8" s="1"/>
  <c r="AU17" i="8" s="1"/>
  <c r="AN25" i="8"/>
  <c r="AR25" i="8" s="1"/>
  <c r="AN21" i="8"/>
  <c r="AR21" i="8" s="1"/>
  <c r="AS21" i="8" s="1"/>
  <c r="AN16" i="8"/>
  <c r="AR16" i="8" s="1"/>
  <c r="AN14" i="8"/>
  <c r="AR14" i="8" s="1"/>
  <c r="AN18" i="8"/>
  <c r="AR18" i="8" s="1"/>
  <c r="AS18" i="8" s="1"/>
  <c r="AU18" i="8" s="1"/>
  <c r="AN20" i="8"/>
  <c r="AR20" i="8" s="1"/>
  <c r="AS20" i="8" s="1"/>
  <c r="M10" i="14"/>
  <c r="P10" i="14"/>
  <c r="R10" i="14"/>
  <c r="AN13" i="8"/>
  <c r="AP13" i="8" s="1"/>
  <c r="AQ13" i="8"/>
  <c r="AQ12" i="8"/>
  <c r="AG13" i="14"/>
  <c r="I10" i="14"/>
  <c r="AG11" i="14"/>
  <c r="AG10" i="14"/>
  <c r="AQ11" i="8"/>
  <c r="Z24" i="8"/>
  <c r="X24" i="8"/>
  <c r="X12" i="8"/>
  <c r="Z12" i="8"/>
  <c r="X13" i="8"/>
  <c r="Z13" i="8" s="1"/>
  <c r="X16" i="8"/>
  <c r="Z16" i="8"/>
  <c r="Z15" i="8"/>
  <c r="X15" i="8"/>
  <c r="Z22" i="8"/>
  <c r="X22" i="8"/>
  <c r="X19" i="8"/>
  <c r="Z19" i="8"/>
  <c r="X14" i="8"/>
  <c r="Z14" i="8"/>
  <c r="X20" i="8"/>
  <c r="Z20" i="8"/>
  <c r="Z21" i="8"/>
  <c r="X21" i="8"/>
  <c r="X28" i="8"/>
  <c r="Z28" i="8"/>
  <c r="X18" i="8"/>
  <c r="Z18" i="8"/>
  <c r="X23" i="8"/>
  <c r="Z23" i="8"/>
  <c r="X26" i="8"/>
  <c r="Z26" i="8"/>
  <c r="Z25" i="8"/>
  <c r="X25" i="8"/>
  <c r="X27" i="8"/>
  <c r="Z27" i="8"/>
  <c r="Z17" i="8"/>
  <c r="X17" i="8"/>
  <c r="Y10" i="14"/>
  <c r="AF13" i="4"/>
  <c r="AF11" i="4"/>
  <c r="AG12" i="14"/>
  <c r="AF12" i="4"/>
  <c r="E129" i="10"/>
  <c r="F129" i="10" s="1"/>
  <c r="G129" i="10" s="1"/>
  <c r="E104" i="10"/>
  <c r="F104" i="10" s="1"/>
  <c r="G104" i="10" s="1"/>
  <c r="D134" i="10"/>
  <c r="F134" i="10" s="1"/>
  <c r="G134" i="10" s="1"/>
  <c r="E207" i="10"/>
  <c r="F207" i="10" s="1"/>
  <c r="E114" i="10"/>
  <c r="F114" i="10" s="1"/>
  <c r="G114" i="10" s="1"/>
  <c r="D211" i="10"/>
  <c r="F211" i="10" s="1"/>
  <c r="N60" i="18"/>
  <c r="I17" i="14"/>
  <c r="AQ10" i="8"/>
  <c r="E124" i="10"/>
  <c r="F124" i="10" s="1"/>
  <c r="G124" i="10" s="1"/>
  <c r="E89" i="10"/>
  <c r="F89" i="10" s="1"/>
  <c r="G89" i="10" s="1"/>
  <c r="E84" i="10"/>
  <c r="F84" i="10" s="1"/>
  <c r="G84" i="10" s="1"/>
  <c r="M71" i="18"/>
  <c r="L61" i="18"/>
  <c r="AN11" i="8"/>
  <c r="AP11" i="8" s="1"/>
  <c r="L60" i="18"/>
  <c r="AD10" i="14"/>
  <c r="AF10" i="14" s="1"/>
  <c r="N62" i="18"/>
  <c r="L69" i="18"/>
  <c r="L72" i="18"/>
  <c r="M60" i="18"/>
  <c r="L71" i="18"/>
  <c r="N65" i="18"/>
  <c r="L64" i="18"/>
  <c r="M74" i="18"/>
  <c r="N64" i="18"/>
  <c r="M69" i="18"/>
  <c r="L66" i="18"/>
  <c r="AF10" i="4"/>
  <c r="M61" i="18"/>
  <c r="L63" i="18"/>
  <c r="L68" i="18"/>
  <c r="N75" i="18"/>
  <c r="L65" i="18"/>
  <c r="M63" i="18"/>
  <c r="AD11" i="14"/>
  <c r="AF11" i="14" s="1"/>
  <c r="N67" i="18"/>
  <c r="L67" i="18"/>
  <c r="N73" i="18"/>
  <c r="N63" i="18"/>
  <c r="N61" i="18"/>
  <c r="L74" i="18"/>
  <c r="M68" i="18"/>
  <c r="L70" i="18"/>
  <c r="M67" i="18"/>
  <c r="M75" i="18"/>
  <c r="L75" i="18"/>
  <c r="I27" i="14"/>
  <c r="R20" i="4"/>
  <c r="U20" i="4" s="1"/>
  <c r="T21" i="4"/>
  <c r="L24" i="4"/>
  <c r="Y25" i="14"/>
  <c r="O28" i="4"/>
  <c r="P28" i="4" s="1"/>
  <c r="AC28" i="4"/>
  <c r="AE28" i="4" s="1"/>
  <c r="O13" i="4"/>
  <c r="P13" i="4" s="1"/>
  <c r="AG22" i="8"/>
  <c r="AH22" i="8" s="1"/>
  <c r="U25" i="14"/>
  <c r="T24" i="4"/>
  <c r="R28" i="4"/>
  <c r="U28" i="4" s="1"/>
  <c r="U17" i="14"/>
  <c r="L17" i="4"/>
  <c r="O16" i="4"/>
  <c r="P16" i="4" s="1"/>
  <c r="L16" i="4"/>
  <c r="Y27" i="14"/>
  <c r="M18" i="14"/>
  <c r="U20" i="14"/>
  <c r="R20" i="14"/>
  <c r="P28" i="14"/>
  <c r="Q28" i="14" s="1"/>
  <c r="M20" i="14"/>
  <c r="O20" i="14" s="1"/>
  <c r="R26" i="4"/>
  <c r="V26" i="4" s="1"/>
  <c r="R22" i="4"/>
  <c r="V22" i="4" s="1"/>
  <c r="I26" i="14"/>
  <c r="X25" i="4"/>
  <c r="M28" i="14"/>
  <c r="O28" i="14" s="1"/>
  <c r="M26" i="14"/>
  <c r="O26" i="14" s="1"/>
  <c r="S22" i="8"/>
  <c r="T22" i="8" s="1"/>
  <c r="U22" i="8" s="1"/>
  <c r="W22" i="8" s="1"/>
  <c r="P21" i="14"/>
  <c r="Q21" i="14" s="1"/>
  <c r="Y24" i="4"/>
  <c r="AB24" i="4" s="1"/>
  <c r="Q12" i="4"/>
  <c r="O20" i="4"/>
  <c r="P20" i="4" s="1"/>
  <c r="P20" i="14"/>
  <c r="Q20" i="14" s="1"/>
  <c r="R27" i="14"/>
  <c r="S23" i="14"/>
  <c r="X23" i="14" s="1"/>
  <c r="M19" i="14"/>
  <c r="O19" i="14" s="1"/>
  <c r="Y23" i="14"/>
  <c r="R23" i="14"/>
  <c r="S18" i="8"/>
  <c r="T18" i="8" s="1"/>
  <c r="U18" i="8" s="1"/>
  <c r="W18" i="8" s="1"/>
  <c r="Z22" i="14"/>
  <c r="AC22" i="14" s="1"/>
  <c r="S18" i="14"/>
  <c r="V18" i="14" s="1"/>
  <c r="R23" i="4"/>
  <c r="W23" i="4" s="1"/>
  <c r="AD28" i="14"/>
  <c r="AF28" i="14" s="1"/>
  <c r="Y19" i="14"/>
  <c r="X27" i="4"/>
  <c r="AN22" i="8"/>
  <c r="AP22" i="8" s="1"/>
  <c r="S25" i="14"/>
  <c r="X25" i="14" s="1"/>
  <c r="L25" i="4"/>
  <c r="S17" i="14"/>
  <c r="V17" i="14" s="1"/>
  <c r="T25" i="4"/>
  <c r="Q19" i="4"/>
  <c r="Q23" i="4"/>
  <c r="Y26" i="14"/>
  <c r="R22" i="14"/>
  <c r="P19" i="14"/>
  <c r="P17" i="14"/>
  <c r="AG23" i="8"/>
  <c r="AH23" i="8" s="1"/>
  <c r="U26" i="14"/>
  <c r="Y17" i="14"/>
  <c r="Q25" i="4"/>
  <c r="L22" i="4"/>
  <c r="R18" i="4"/>
  <c r="W18" i="4" s="1"/>
  <c r="J24" i="14"/>
  <c r="Y22" i="3" s="1" a="1"/>
  <c r="Y22" i="3" s="1"/>
  <c r="S28" i="14"/>
  <c r="X28" i="14" s="1"/>
  <c r="S28" i="8"/>
  <c r="T28" i="8" s="1"/>
  <c r="U28" i="8" s="1"/>
  <c r="W28" i="8" s="1"/>
  <c r="S24" i="8"/>
  <c r="T24" i="8" s="1"/>
  <c r="U24" i="8" s="1"/>
  <c r="O27" i="4"/>
  <c r="P27" i="4" s="1"/>
  <c r="AN12" i="8"/>
  <c r="AP12" i="8" s="1"/>
  <c r="AR12" i="8" s="1"/>
  <c r="O24" i="4"/>
  <c r="P24" i="4" s="1"/>
  <c r="S22" i="14"/>
  <c r="X22" i="14" s="1"/>
  <c r="AC20" i="4"/>
  <c r="AE20" i="4" s="1"/>
  <c r="D119" i="10"/>
  <c r="F119" i="10" s="1"/>
  <c r="G119" i="10" s="1"/>
  <c r="X24" i="4"/>
  <c r="N69" i="18"/>
  <c r="D94" i="10"/>
  <c r="F94" i="10" s="1"/>
  <c r="G94" i="10" s="1"/>
  <c r="L27" i="4"/>
  <c r="L20" i="4"/>
  <c r="U16" i="14"/>
  <c r="I25" i="14"/>
  <c r="J28" i="14"/>
  <c r="Y26" i="3" s="1" a="1"/>
  <c r="Y26" i="3" s="1"/>
  <c r="X20" i="4"/>
  <c r="I12" i="14"/>
  <c r="S19" i="8"/>
  <c r="T19" i="8" s="1"/>
  <c r="U19" i="8" s="1"/>
  <c r="W19" i="8" s="1"/>
  <c r="M25" i="14"/>
  <c r="O25" i="14" s="1"/>
  <c r="AN28" i="8"/>
  <c r="D109" i="10"/>
  <c r="F109" i="10" s="1"/>
  <c r="G109" i="10" s="1"/>
  <c r="R24" i="4"/>
  <c r="V24" i="4" s="1"/>
  <c r="E99" i="10"/>
  <c r="F99" i="10" s="1"/>
  <c r="G99" i="10" s="1"/>
  <c r="M22" i="14"/>
  <c r="O22" i="14" s="1"/>
  <c r="N72" i="18"/>
  <c r="N68" i="18"/>
  <c r="M64" i="18"/>
  <c r="U22" i="14"/>
  <c r="AG17" i="8"/>
  <c r="AJ17" i="8" s="1"/>
  <c r="AK17" i="8" s="1"/>
  <c r="AM17" i="8" s="1"/>
  <c r="S16" i="8"/>
  <c r="T16" i="8" s="1"/>
  <c r="U16" i="8" s="1"/>
  <c r="W16" i="8" s="1"/>
  <c r="AD25" i="14"/>
  <c r="AH25" i="14" s="1"/>
  <c r="Y27" i="4"/>
  <c r="AB27" i="4" s="1"/>
  <c r="L12" i="4"/>
  <c r="P22" i="14"/>
  <c r="Q22" i="14" s="1"/>
  <c r="I19" i="14"/>
  <c r="Q27" i="4"/>
  <c r="S10" i="8"/>
  <c r="L28" i="4"/>
  <c r="X13" i="4"/>
  <c r="AN23" i="8"/>
  <c r="AR23" i="8" s="1"/>
  <c r="S23" i="8"/>
  <c r="T23" i="8" s="1"/>
  <c r="U23" i="8" s="1"/>
  <c r="M27" i="14"/>
  <c r="O27" i="14" s="1"/>
  <c r="P27" i="14"/>
  <c r="Q27" i="14" s="1"/>
  <c r="R21" i="14"/>
  <c r="Y21" i="14"/>
  <c r="Y15" i="14"/>
  <c r="R15" i="14"/>
  <c r="X19" i="4"/>
  <c r="AC19" i="4"/>
  <c r="AG19" i="4" s="1"/>
  <c r="AN19" i="8"/>
  <c r="AP19" i="8" s="1"/>
  <c r="L21" i="4"/>
  <c r="U21" i="14"/>
  <c r="U19" i="14"/>
  <c r="I20" i="14"/>
  <c r="AG28" i="8"/>
  <c r="S26" i="8"/>
  <c r="T26" i="8" s="1"/>
  <c r="U26" i="8" s="1"/>
  <c r="S20" i="8"/>
  <c r="T20" i="8" s="1"/>
  <c r="U20" i="8" s="1"/>
  <c r="V20" i="8" s="1"/>
  <c r="Z28" i="14"/>
  <c r="AB28" i="14" s="1"/>
  <c r="R28" i="14"/>
  <c r="Y28" i="14"/>
  <c r="Y24" i="14"/>
  <c r="R24" i="14"/>
  <c r="Z23" i="14"/>
  <c r="AA23" i="14" s="1"/>
  <c r="AD23" i="14"/>
  <c r="Z17" i="14"/>
  <c r="AA17" i="14" s="1"/>
  <c r="M17" i="14"/>
  <c r="O17" i="14" s="1"/>
  <c r="Z15" i="14"/>
  <c r="AC15" i="14" s="1"/>
  <c r="O26" i="4"/>
  <c r="P26" i="4" s="1"/>
  <c r="L26" i="4"/>
  <c r="X26" i="4"/>
  <c r="AC26" i="4"/>
  <c r="AE26" i="4" s="1"/>
  <c r="Y20" i="4"/>
  <c r="AB20" i="4" s="1"/>
  <c r="T20" i="4"/>
  <c r="Q20" i="4"/>
  <c r="I18" i="14"/>
  <c r="O12" i="4"/>
  <c r="P12" i="4" s="1"/>
  <c r="X12" i="4"/>
  <c r="AG19" i="8"/>
  <c r="AC12" i="4"/>
  <c r="AE12" i="4" s="1"/>
  <c r="AD12" i="14"/>
  <c r="AF12" i="14" s="1"/>
  <c r="Y26" i="4"/>
  <c r="Z26" i="4" s="1"/>
  <c r="Q26" i="4"/>
  <c r="T26" i="4"/>
  <c r="AC23" i="4"/>
  <c r="AG23" i="4" s="1"/>
  <c r="L23" i="4"/>
  <c r="S19" i="14"/>
  <c r="W19" i="14" s="1"/>
  <c r="Z19" i="14"/>
  <c r="AB19" i="14" s="1"/>
  <c r="AD27" i="14"/>
  <c r="AH27" i="14" s="1"/>
  <c r="S21" i="14"/>
  <c r="W21" i="14" s="1"/>
  <c r="AG21" i="8"/>
  <c r="AJ21" i="8" s="1"/>
  <c r="AK21" i="8" s="1"/>
  <c r="O23" i="4"/>
  <c r="P23" i="4" s="1"/>
  <c r="J22" i="14"/>
  <c r="Y20" i="3" s="1" a="1"/>
  <c r="Y20" i="3" s="1"/>
  <c r="I22" i="14"/>
  <c r="I16" i="14"/>
  <c r="I13" i="14"/>
  <c r="R27" i="4"/>
  <c r="V27" i="4" s="1"/>
  <c r="Z24" i="14"/>
  <c r="AA24" i="14" s="1"/>
  <c r="R25" i="4"/>
  <c r="W25" i="4" s="1"/>
  <c r="I21" i="14"/>
  <c r="P23" i="14"/>
  <c r="Q23" i="14" s="1"/>
  <c r="S20" i="14"/>
  <c r="V20" i="14" s="1"/>
  <c r="M16" i="14"/>
  <c r="R17" i="4"/>
  <c r="W17" i="4" s="1"/>
  <c r="L14" i="4"/>
  <c r="O10" i="4"/>
  <c r="P10" i="4" s="1"/>
  <c r="M24" i="14"/>
  <c r="O24" i="14" s="1"/>
  <c r="J23" i="14"/>
  <c r="Y21" i="3" s="1" a="1"/>
  <c r="Y21" i="3" s="1"/>
  <c r="I23" i="14"/>
  <c r="AD16" i="14"/>
  <c r="AF16" i="14" s="1"/>
  <c r="O21" i="4"/>
  <c r="P21" i="4" s="1"/>
  <c r="O19" i="4"/>
  <c r="P19" i="4" s="1"/>
  <c r="X11" i="4"/>
  <c r="S27" i="14"/>
  <c r="V27" i="14" s="1"/>
  <c r="Z27" i="14"/>
  <c r="AC27" i="14" s="1"/>
  <c r="Z20" i="14"/>
  <c r="AC20" i="14" s="1"/>
  <c r="AD20" i="14"/>
  <c r="M13" i="14"/>
  <c r="AD13" i="14"/>
  <c r="AF13" i="14" s="1"/>
  <c r="S24" i="14"/>
  <c r="X24" i="14" s="1"/>
  <c r="AD24" i="14"/>
  <c r="AF24" i="14" s="1"/>
  <c r="Y18" i="4"/>
  <c r="AB18" i="4" s="1"/>
  <c r="Q18" i="4"/>
  <c r="L18" i="4"/>
  <c r="S12" i="8"/>
  <c r="T12" i="8" s="1"/>
  <c r="U12" i="8" s="1"/>
  <c r="W12" i="8" s="1"/>
  <c r="AG26" i="8"/>
  <c r="AN26" i="8"/>
  <c r="AN24" i="8"/>
  <c r="AG24" i="8"/>
  <c r="Z25" i="14"/>
  <c r="AA25" i="14" s="1"/>
  <c r="Z21" i="14"/>
  <c r="AB21" i="14" s="1"/>
  <c r="M21" i="14"/>
  <c r="O21" i="14" s="1"/>
  <c r="R21" i="4"/>
  <c r="W21" i="4" s="1"/>
  <c r="Y21" i="4"/>
  <c r="Z21" i="4" s="1"/>
  <c r="X21" i="4"/>
  <c r="R19" i="4"/>
  <c r="V19" i="4" s="1"/>
  <c r="Y19" i="4"/>
  <c r="Z19" i="4" s="1"/>
  <c r="L19" i="4"/>
  <c r="AG20" i="8"/>
  <c r="P25" i="14"/>
  <c r="Q25" i="14" s="1"/>
  <c r="P24" i="14"/>
  <c r="Q24" i="14" s="1"/>
  <c r="S16" i="14"/>
  <c r="X16" i="14" s="1"/>
  <c r="M14" i="14"/>
  <c r="M23" i="14"/>
  <c r="O23" i="14" s="1"/>
  <c r="O25" i="4"/>
  <c r="P25" i="4" s="1"/>
  <c r="L13" i="4"/>
  <c r="L10" i="4"/>
  <c r="N10" i="4" s="1"/>
  <c r="R16" i="4"/>
  <c r="U16" i="4" s="1"/>
  <c r="P16" i="14"/>
  <c r="Q16" i="14" s="1"/>
  <c r="Y14" i="4"/>
  <c r="AB14" i="4" s="1"/>
  <c r="AC13" i="4"/>
  <c r="AE13" i="4" s="1"/>
  <c r="R11" i="14"/>
  <c r="Y14" i="14"/>
  <c r="R14" i="14"/>
  <c r="S14" i="8"/>
  <c r="T14" i="8" s="1"/>
  <c r="U14" i="8" s="1"/>
  <c r="W14" i="8" s="1"/>
  <c r="S13" i="8"/>
  <c r="T13" i="8" s="1"/>
  <c r="U13" i="8" s="1"/>
  <c r="W13" i="8" s="1"/>
  <c r="R16" i="14"/>
  <c r="M15" i="14"/>
  <c r="O11" i="4"/>
  <c r="P11" i="4" s="1"/>
  <c r="P11" i="14"/>
  <c r="L11" i="4"/>
  <c r="Y11" i="4"/>
  <c r="AA11" i="4" s="1"/>
  <c r="Z11" i="14"/>
  <c r="AC11" i="14" s="1"/>
  <c r="M11" i="14"/>
  <c r="X10" i="4"/>
  <c r="Q10" i="4"/>
  <c r="AG15" i="8"/>
  <c r="AH15" i="8" s="1"/>
  <c r="S15" i="8"/>
  <c r="T15" i="8" s="1"/>
  <c r="U15" i="8" s="1"/>
  <c r="W15" i="8" s="1"/>
  <c r="P15" i="14"/>
  <c r="Q15" i="14" s="1"/>
  <c r="AD15" i="14"/>
  <c r="AF15" i="14" s="1"/>
  <c r="O14" i="4"/>
  <c r="P14" i="4" s="1"/>
  <c r="Q14" i="4"/>
  <c r="P14" i="14"/>
  <c r="Q14" i="14" s="1"/>
  <c r="Z14" i="14"/>
  <c r="AC14" i="14" s="1"/>
  <c r="X14" i="4"/>
  <c r="AD14" i="14"/>
  <c r="AG14" i="8"/>
  <c r="AI14" i="8" s="1"/>
  <c r="I14" i="14"/>
  <c r="R18" i="14"/>
  <c r="Y18" i="14"/>
  <c r="U18" i="14"/>
  <c r="Z18" i="14"/>
  <c r="AC18" i="14" s="1"/>
  <c r="P18" i="14"/>
  <c r="Q18" i="14" s="1"/>
  <c r="R13" i="14"/>
  <c r="Y13" i="14"/>
  <c r="P13" i="14"/>
  <c r="Y17" i="4"/>
  <c r="AB17" i="4" s="1"/>
  <c r="X17" i="4"/>
  <c r="Q17" i="4"/>
  <c r="O17" i="4"/>
  <c r="P17" i="4" s="1"/>
  <c r="T17" i="4"/>
  <c r="L15" i="4"/>
  <c r="X15" i="4"/>
  <c r="Q15" i="4"/>
  <c r="Y15" i="4"/>
  <c r="AA15" i="4" s="1"/>
  <c r="O15" i="4"/>
  <c r="P15" i="4" s="1"/>
  <c r="AG25" i="8"/>
  <c r="S25" i="8"/>
  <c r="T25" i="8" s="1"/>
  <c r="U25" i="8" s="1"/>
  <c r="S21" i="8"/>
  <c r="T21" i="8" s="1"/>
  <c r="U21" i="8" s="1"/>
  <c r="AG18" i="8"/>
  <c r="M12" i="14"/>
  <c r="P12" i="14"/>
  <c r="R12" i="14"/>
  <c r="Q13" i="4"/>
  <c r="Q16" i="4"/>
  <c r="X16" i="4"/>
  <c r="AG27" i="8"/>
  <c r="S27" i="8"/>
  <c r="T27" i="8" s="1"/>
  <c r="U27" i="8" s="1"/>
  <c r="O22" i="4"/>
  <c r="P22" i="4" s="1"/>
  <c r="X22" i="4"/>
  <c r="Y22" i="4"/>
  <c r="AB22" i="4" s="1"/>
  <c r="Q22" i="4"/>
  <c r="Z26" i="14"/>
  <c r="AC26" i="14" s="1"/>
  <c r="S26" i="14"/>
  <c r="X26" i="14" s="1"/>
  <c r="P26" i="14"/>
  <c r="Q26" i="14" s="1"/>
  <c r="Y28" i="4"/>
  <c r="AB28" i="4" s="1"/>
  <c r="X28" i="4"/>
  <c r="Q28" i="4"/>
  <c r="S17" i="8"/>
  <c r="T17" i="8" s="1"/>
  <c r="U17" i="8" s="1"/>
  <c r="AG16" i="8"/>
  <c r="Y23" i="4"/>
  <c r="AB23" i="4" s="1"/>
  <c r="X23" i="4"/>
  <c r="L73" i="18"/>
  <c r="S11" i="8"/>
  <c r="T11" i="8" s="1"/>
  <c r="U11" i="8" s="1"/>
  <c r="AG11" i="8"/>
  <c r="O18" i="4"/>
  <c r="P18" i="4" s="1"/>
  <c r="X18" i="4"/>
  <c r="N74" i="18"/>
  <c r="N71" i="18"/>
  <c r="M62" i="18"/>
  <c r="M72" i="18"/>
  <c r="M66" i="18"/>
  <c r="N66" i="18"/>
  <c r="N70" i="18"/>
  <c r="M70" i="18"/>
  <c r="L62" i="18"/>
  <c r="M65" i="18"/>
  <c r="M73" i="18"/>
  <c r="Z25" i="4"/>
  <c r="AB25" i="4"/>
  <c r="AA25" i="4"/>
  <c r="J19" i="14"/>
  <c r="Z13" i="14"/>
  <c r="S14" i="14"/>
  <c r="R14" i="4"/>
  <c r="R15" i="4"/>
  <c r="J18" i="14"/>
  <c r="J17" i="14"/>
  <c r="J16" i="14"/>
  <c r="J15" i="14"/>
  <c r="Y16" i="4"/>
  <c r="Z16" i="14"/>
  <c r="S12" i="14"/>
  <c r="S15" i="14"/>
  <c r="R12" i="4"/>
  <c r="Y13" i="4"/>
  <c r="J14" i="14"/>
  <c r="Z12" i="14"/>
  <c r="Y12" i="4"/>
  <c r="J13" i="14"/>
  <c r="S13" i="14"/>
  <c r="R13" i="4"/>
  <c r="Y10" i="4"/>
  <c r="Z10" i="14"/>
  <c r="R10" i="4"/>
  <c r="S10" i="14"/>
  <c r="S11" i="14"/>
  <c r="R11" i="4"/>
  <c r="J12" i="14"/>
  <c r="J11" i="14"/>
  <c r="J10" i="14"/>
  <c r="O12" i="8" l="1"/>
  <c r="P12" i="8" s="1"/>
  <c r="R12" i="8" s="1"/>
  <c r="N16" i="8"/>
  <c r="O16" i="8"/>
  <c r="P16" i="8" s="1"/>
  <c r="N21" i="8"/>
  <c r="O21" i="8"/>
  <c r="P21" i="8" s="1"/>
  <c r="N25" i="8"/>
  <c r="O25" i="8"/>
  <c r="P25" i="8" s="1"/>
  <c r="O13" i="8"/>
  <c r="P13" i="8" s="1"/>
  <c r="N13" i="8"/>
  <c r="N23" i="8"/>
  <c r="O23" i="8"/>
  <c r="P23" i="8" s="1"/>
  <c r="N26" i="8"/>
  <c r="O26" i="8"/>
  <c r="P26" i="8" s="1"/>
  <c r="O24" i="8"/>
  <c r="P24" i="8" s="1"/>
  <c r="N24" i="8"/>
  <c r="Q11" i="8"/>
  <c r="R11" i="8"/>
  <c r="N19" i="8"/>
  <c r="O19" i="8"/>
  <c r="P19" i="8" s="1"/>
  <c r="N22" i="8"/>
  <c r="O22" i="8"/>
  <c r="P22" i="8" s="1"/>
  <c r="N17" i="8"/>
  <c r="O17" i="8"/>
  <c r="P17" i="8" s="1"/>
  <c r="N20" i="8"/>
  <c r="O20" i="8"/>
  <c r="P20" i="8" s="1"/>
  <c r="N27" i="8"/>
  <c r="O27" i="8"/>
  <c r="P27" i="8" s="1"/>
  <c r="N18" i="8"/>
  <c r="O18" i="8"/>
  <c r="P18" i="8" s="1"/>
  <c r="Q15" i="8"/>
  <c r="R15" i="8"/>
  <c r="O28" i="8"/>
  <c r="P28" i="8" s="1"/>
  <c r="N28" i="8"/>
  <c r="O14" i="8"/>
  <c r="P14" i="8" s="1"/>
  <c r="N14" i="8"/>
  <c r="AH22" i="14"/>
  <c r="AI22" i="14" s="1"/>
  <c r="AF17" i="14"/>
  <c r="AE21" i="4"/>
  <c r="AH21" i="14"/>
  <c r="AP27" i="8"/>
  <c r="AH18" i="14"/>
  <c r="AE25" i="4"/>
  <c r="AF26" i="14"/>
  <c r="AG16" i="4"/>
  <c r="AF19" i="14"/>
  <c r="AP17" i="8"/>
  <c r="AG17" i="4"/>
  <c r="AE22" i="4"/>
  <c r="AE18" i="4"/>
  <c r="Q11" i="14"/>
  <c r="AG14" i="4"/>
  <c r="AG24" i="4"/>
  <c r="AG27" i="4"/>
  <c r="N14" i="4"/>
  <c r="M14" i="4"/>
  <c r="N13" i="4"/>
  <c r="M13" i="4"/>
  <c r="N19" i="4"/>
  <c r="M19" i="4"/>
  <c r="N25" i="4"/>
  <c r="AH25" i="4" s="1"/>
  <c r="M25" i="4"/>
  <c r="N22" i="4"/>
  <c r="M22" i="4"/>
  <c r="N27" i="4"/>
  <c r="M27" i="4"/>
  <c r="N18" i="4"/>
  <c r="AH18" i="4" s="1"/>
  <c r="Q16" i="3" s="1"/>
  <c r="X16" i="3" s="1" a="1"/>
  <c r="X16" i="3" s="1"/>
  <c r="M18" i="4"/>
  <c r="N17" i="4"/>
  <c r="M17" i="4"/>
  <c r="N12" i="4"/>
  <c r="M12" i="4"/>
  <c r="N24" i="4"/>
  <c r="M24" i="4"/>
  <c r="N15" i="4"/>
  <c r="M15" i="4"/>
  <c r="N21" i="4"/>
  <c r="M21" i="4"/>
  <c r="N28" i="4"/>
  <c r="M28" i="4"/>
  <c r="N20" i="4"/>
  <c r="M20" i="4"/>
  <c r="N26" i="4"/>
  <c r="M26" i="4"/>
  <c r="N23" i="4"/>
  <c r="AH23" i="4" s="1"/>
  <c r="M23" i="4"/>
  <c r="N16" i="4"/>
  <c r="M16" i="4"/>
  <c r="AT17" i="8"/>
  <c r="AP14" i="8"/>
  <c r="AP20" i="8"/>
  <c r="AP16" i="8"/>
  <c r="AP25" i="8"/>
  <c r="AP21" i="8"/>
  <c r="AP18" i="8"/>
  <c r="AG11" i="4"/>
  <c r="AR11" i="8"/>
  <c r="N11" i="4"/>
  <c r="M11" i="4"/>
  <c r="M10" i="4"/>
  <c r="N10" i="14"/>
  <c r="T10" i="8"/>
  <c r="U10" i="8" s="1"/>
  <c r="Q10" i="14"/>
  <c r="AH10" i="14"/>
  <c r="AR13" i="8"/>
  <c r="AS13" i="8" s="1"/>
  <c r="AT13" i="8" s="1"/>
  <c r="Z12" i="4"/>
  <c r="AA12" i="4" s="1"/>
  <c r="AB12" i="4" s="1"/>
  <c r="O10" i="14"/>
  <c r="Q10" i="8"/>
  <c r="Y20" i="8"/>
  <c r="AC20" i="8"/>
  <c r="AD20" i="8" s="1"/>
  <c r="AB20" i="8"/>
  <c r="AA20" i="8"/>
  <c r="AA19" i="8"/>
  <c r="Y19" i="8"/>
  <c r="AB19" i="8"/>
  <c r="AC19" i="8"/>
  <c r="AD19" i="8" s="1"/>
  <c r="AA17" i="8"/>
  <c r="Y17" i="8"/>
  <c r="AB17" i="8"/>
  <c r="AC17" i="8"/>
  <c r="AD17" i="8" s="1"/>
  <c r="AA25" i="8"/>
  <c r="Y25" i="8"/>
  <c r="AB25" i="8"/>
  <c r="AC25" i="8"/>
  <c r="AD25" i="8" s="1"/>
  <c r="Y22" i="8"/>
  <c r="AC22" i="8"/>
  <c r="AD22" i="8" s="1"/>
  <c r="AB22" i="8"/>
  <c r="AA22" i="8"/>
  <c r="Y14" i="8"/>
  <c r="AB14" i="8"/>
  <c r="AC14" i="8"/>
  <c r="AD14" i="8" s="1"/>
  <c r="AA14" i="8"/>
  <c r="AB15" i="8"/>
  <c r="Y15" i="8"/>
  <c r="AA15" i="8"/>
  <c r="AC15" i="8"/>
  <c r="AD15" i="8" s="1"/>
  <c r="AC26" i="8"/>
  <c r="AD26" i="8" s="1"/>
  <c r="AB26" i="8"/>
  <c r="AA26" i="8"/>
  <c r="Y26" i="8"/>
  <c r="AB27" i="8"/>
  <c r="AA27" i="8"/>
  <c r="Y27" i="8"/>
  <c r="AC27" i="8"/>
  <c r="AD27" i="8" s="1"/>
  <c r="Y23" i="8"/>
  <c r="AA23" i="8"/>
  <c r="AB23" i="8"/>
  <c r="AC23" i="8"/>
  <c r="AD23" i="8" s="1"/>
  <c r="AA16" i="8"/>
  <c r="Y16" i="8"/>
  <c r="AB16" i="8"/>
  <c r="AC16" i="8"/>
  <c r="AD16" i="8" s="1"/>
  <c r="Y13" i="8"/>
  <c r="AA13" i="8" s="1"/>
  <c r="AC18" i="8"/>
  <c r="AD18" i="8" s="1"/>
  <c r="AA18" i="8"/>
  <c r="AB18" i="8"/>
  <c r="Y18" i="8"/>
  <c r="Y28" i="8"/>
  <c r="AA28" i="8"/>
  <c r="AB28" i="8"/>
  <c r="AC28" i="8"/>
  <c r="AD28" i="8" s="1"/>
  <c r="Y12" i="8"/>
  <c r="AB12" i="8"/>
  <c r="AA12" i="8"/>
  <c r="AC12" i="8"/>
  <c r="AD12" i="8" s="1"/>
  <c r="AC21" i="8"/>
  <c r="AD21" i="8" s="1"/>
  <c r="AA21" i="8"/>
  <c r="Y21" i="8"/>
  <c r="AB21" i="8"/>
  <c r="AA24" i="8"/>
  <c r="Y24" i="8"/>
  <c r="AC24" i="8"/>
  <c r="AD24" i="8" s="1"/>
  <c r="AB24" i="8"/>
  <c r="O11" i="14"/>
  <c r="T15" i="4"/>
  <c r="G126" i="10"/>
  <c r="C328" i="10" s="1"/>
  <c r="G125" i="10"/>
  <c r="G90" i="10"/>
  <c r="G91" i="10"/>
  <c r="C321" i="10" s="1"/>
  <c r="X11" i="8" s="1"/>
  <c r="Z11" i="8" s="1"/>
  <c r="G120" i="10"/>
  <c r="G121" i="10"/>
  <c r="C327" i="10" s="1"/>
  <c r="G85" i="10"/>
  <c r="G86" i="10"/>
  <c r="C320" i="10" s="1"/>
  <c r="X10" i="8" s="1"/>
  <c r="G111" i="10"/>
  <c r="C325" i="10" s="1"/>
  <c r="G110" i="10"/>
  <c r="G212" i="10"/>
  <c r="C349" i="10" s="1"/>
  <c r="G211" i="10"/>
  <c r="G131" i="10"/>
  <c r="C329" i="10" s="1"/>
  <c r="G130" i="10"/>
  <c r="G116" i="10"/>
  <c r="C326" i="10" s="1"/>
  <c r="G115" i="10"/>
  <c r="G208" i="10"/>
  <c r="C348" i="10" s="1"/>
  <c r="AG12" i="8" s="1"/>
  <c r="AH12" i="8" s="1"/>
  <c r="AI12" i="8" s="1"/>
  <c r="AJ12" i="8" s="1"/>
  <c r="AK12" i="8" s="1"/>
  <c r="G207" i="10"/>
  <c r="G135" i="10"/>
  <c r="G136" i="10"/>
  <c r="C330" i="10" s="1"/>
  <c r="G106" i="10"/>
  <c r="C324" i="10" s="1"/>
  <c r="G105" i="10"/>
  <c r="G95" i="10"/>
  <c r="G96" i="10"/>
  <c r="C322" i="10" s="1"/>
  <c r="G100" i="10"/>
  <c r="G101" i="10"/>
  <c r="C323" i="10" s="1"/>
  <c r="O18" i="14"/>
  <c r="Q17" i="14"/>
  <c r="O16" i="14"/>
  <c r="O15" i="14"/>
  <c r="Z10" i="4"/>
  <c r="AA10" i="4" s="1"/>
  <c r="AB10" i="4" s="1"/>
  <c r="U13" i="4"/>
  <c r="T13" i="4"/>
  <c r="U13" i="14"/>
  <c r="AA10" i="14"/>
  <c r="AB10" i="14" s="1"/>
  <c r="AC10" i="14" s="1"/>
  <c r="Q12" i="14"/>
  <c r="AN15" i="8"/>
  <c r="AP15" i="8" s="1"/>
  <c r="AR15" i="8" s="1"/>
  <c r="AS15" i="8" s="1"/>
  <c r="AC10" i="4"/>
  <c r="AE10" i="4" s="1"/>
  <c r="AG10" i="4" s="1"/>
  <c r="AC15" i="4"/>
  <c r="AE15" i="4" s="1"/>
  <c r="AG15" i="4" s="1"/>
  <c r="V14" i="4"/>
  <c r="T14" i="4"/>
  <c r="V14" i="14"/>
  <c r="U14" i="14"/>
  <c r="O13" i="14"/>
  <c r="Q13" i="14"/>
  <c r="T12" i="4"/>
  <c r="V12" i="14"/>
  <c r="U12" i="14"/>
  <c r="V11" i="4"/>
  <c r="T11" i="4"/>
  <c r="U11" i="14"/>
  <c r="AN10" i="8"/>
  <c r="AP10" i="8" s="1"/>
  <c r="AR10" i="8" s="1"/>
  <c r="W20" i="4"/>
  <c r="V20" i="4"/>
  <c r="V18" i="8"/>
  <c r="AI22" i="8"/>
  <c r="AJ22" i="8"/>
  <c r="AK22" i="8" s="1"/>
  <c r="AL22" i="8" s="1"/>
  <c r="AG28" i="4"/>
  <c r="O12" i="14"/>
  <c r="AR22" i="8"/>
  <c r="Q19" i="14"/>
  <c r="W28" i="4"/>
  <c r="V28" i="4"/>
  <c r="V13" i="14"/>
  <c r="V19" i="8"/>
  <c r="W13" i="14"/>
  <c r="AI17" i="8"/>
  <c r="W26" i="4"/>
  <c r="U26" i="4"/>
  <c r="U22" i="4"/>
  <c r="X18" i="14"/>
  <c r="W18" i="14"/>
  <c r="V23" i="14"/>
  <c r="Z16" i="4"/>
  <c r="AA16" i="4" s="1"/>
  <c r="AB16" i="4" s="1"/>
  <c r="W17" i="14"/>
  <c r="W22" i="4"/>
  <c r="AA24" i="4"/>
  <c r="Z24" i="4"/>
  <c r="V28" i="14"/>
  <c r="AB22" i="14"/>
  <c r="AA22" i="14"/>
  <c r="V22" i="8"/>
  <c r="AH28" i="14"/>
  <c r="U23" i="4"/>
  <c r="W28" i="14"/>
  <c r="V25" i="14"/>
  <c r="W25" i="14"/>
  <c r="U18" i="4"/>
  <c r="W23" i="14"/>
  <c r="V23" i="4"/>
  <c r="AI23" i="8"/>
  <c r="AJ23" i="8"/>
  <c r="AK23" i="8" s="1"/>
  <c r="AM23" i="8" s="1"/>
  <c r="AH21" i="8"/>
  <c r="AI21" i="8"/>
  <c r="V16" i="8"/>
  <c r="AH17" i="8"/>
  <c r="X17" i="14"/>
  <c r="V28" i="8"/>
  <c r="V13" i="8"/>
  <c r="AL17" i="8"/>
  <c r="V18" i="4"/>
  <c r="AH11" i="14"/>
  <c r="AF25" i="14"/>
  <c r="AE23" i="4"/>
  <c r="AG20" i="4"/>
  <c r="AG12" i="4"/>
  <c r="AH12" i="14"/>
  <c r="AH24" i="14"/>
  <c r="W24" i="4"/>
  <c r="U24" i="4"/>
  <c r="V22" i="14"/>
  <c r="W22" i="14"/>
  <c r="AA27" i="4"/>
  <c r="AR19" i="8"/>
  <c r="AS19" i="8" s="1"/>
  <c r="V14" i="8"/>
  <c r="AR28" i="8"/>
  <c r="AS28" i="8" s="1"/>
  <c r="AP28" i="8"/>
  <c r="Z27" i="4"/>
  <c r="AC17" i="14"/>
  <c r="U27" i="4"/>
  <c r="W27" i="4"/>
  <c r="V12" i="4"/>
  <c r="AA12" i="14"/>
  <c r="AB12" i="14" s="1"/>
  <c r="AC12" i="14" s="1"/>
  <c r="V17" i="4"/>
  <c r="U12" i="4"/>
  <c r="U17" i="4"/>
  <c r="AB17" i="14"/>
  <c r="X21" i="14"/>
  <c r="V10" i="14"/>
  <c r="U10" i="14"/>
  <c r="U10" i="4"/>
  <c r="T10" i="4"/>
  <c r="AB15" i="14"/>
  <c r="AA26" i="4"/>
  <c r="AA20" i="14"/>
  <c r="V25" i="4"/>
  <c r="AA19" i="4"/>
  <c r="AC28" i="14"/>
  <c r="AA19" i="14"/>
  <c r="W12" i="14"/>
  <c r="U25" i="4"/>
  <c r="W14" i="14"/>
  <c r="AA28" i="14"/>
  <c r="AC19" i="14"/>
  <c r="V21" i="14"/>
  <c r="W16" i="14"/>
  <c r="V26" i="8"/>
  <c r="W26" i="8"/>
  <c r="AJ19" i="8"/>
  <c r="AK19" i="8" s="1"/>
  <c r="AH19" i="8"/>
  <c r="X19" i="14"/>
  <c r="X20" i="14"/>
  <c r="V24" i="14"/>
  <c r="AB26" i="4"/>
  <c r="AC23" i="14"/>
  <c r="AB27" i="14"/>
  <c r="AA20" i="4"/>
  <c r="AP23" i="8"/>
  <c r="AH14" i="8"/>
  <c r="V12" i="8"/>
  <c r="AE19" i="4"/>
  <c r="AT18" i="8"/>
  <c r="AJ15" i="8"/>
  <c r="AK15" i="8" s="1"/>
  <c r="AM15" i="8" s="1"/>
  <c r="AJ28" i="8"/>
  <c r="AK28" i="8" s="1"/>
  <c r="AH28" i="8"/>
  <c r="AI28" i="8"/>
  <c r="AB23" i="14"/>
  <c r="AB20" i="14"/>
  <c r="AA21" i="14"/>
  <c r="AC24" i="14"/>
  <c r="AI19" i="8"/>
  <c r="AB21" i="4"/>
  <c r="V19" i="14"/>
  <c r="V13" i="4"/>
  <c r="AA15" i="14"/>
  <c r="AC21" i="14"/>
  <c r="AB24" i="14"/>
  <c r="Z20" i="4"/>
  <c r="W20" i="14"/>
  <c r="AH16" i="14"/>
  <c r="AG26" i="4"/>
  <c r="W20" i="8"/>
  <c r="AF27" i="14"/>
  <c r="AT21" i="8"/>
  <c r="AU21" i="8"/>
  <c r="AH23" i="14"/>
  <c r="AF23" i="14"/>
  <c r="W23" i="8"/>
  <c r="V23" i="8"/>
  <c r="W24" i="14"/>
  <c r="U11" i="4"/>
  <c r="AA18" i="4"/>
  <c r="W27" i="14"/>
  <c r="X27" i="14"/>
  <c r="AI27" i="14" s="1"/>
  <c r="Z18" i="4"/>
  <c r="Z14" i="4"/>
  <c r="U21" i="4"/>
  <c r="AA14" i="4"/>
  <c r="AB19" i="4"/>
  <c r="V21" i="4"/>
  <c r="V16" i="14"/>
  <c r="W19" i="4"/>
  <c r="U19" i="4"/>
  <c r="V11" i="14"/>
  <c r="W11" i="14"/>
  <c r="AJ26" i="8"/>
  <c r="AK26" i="8" s="1"/>
  <c r="AI26" i="8"/>
  <c r="AH26" i="8"/>
  <c r="AA21" i="4"/>
  <c r="AC25" i="14"/>
  <c r="AI25" i="14" s="1"/>
  <c r="AA16" i="14"/>
  <c r="AB16" i="14" s="1"/>
  <c r="AC16" i="14" s="1"/>
  <c r="AB25" i="14"/>
  <c r="AA27" i="14"/>
  <c r="AH15" i="14"/>
  <c r="AJ20" i="8"/>
  <c r="AH20" i="8"/>
  <c r="AI20" i="8"/>
  <c r="AR26" i="8"/>
  <c r="AP26" i="8"/>
  <c r="AT20" i="8"/>
  <c r="AU20" i="8"/>
  <c r="AG13" i="4"/>
  <c r="AH13" i="14"/>
  <c r="AH24" i="8"/>
  <c r="AI24" i="8"/>
  <c r="AJ24" i="8"/>
  <c r="AK24" i="8" s="1"/>
  <c r="AI15" i="8"/>
  <c r="AR24" i="8"/>
  <c r="AP24" i="8"/>
  <c r="AH20" i="14"/>
  <c r="AF20" i="14"/>
  <c r="W16" i="4"/>
  <c r="W10" i="14"/>
  <c r="AJ14" i="8"/>
  <c r="AK14" i="8" s="1"/>
  <c r="AM14" i="8" s="1"/>
  <c r="V16" i="4"/>
  <c r="AB11" i="4"/>
  <c r="Z11" i="4"/>
  <c r="AB11" i="14"/>
  <c r="AA11" i="14"/>
  <c r="V10" i="4"/>
  <c r="V15" i="4"/>
  <c r="U15" i="4"/>
  <c r="U15" i="14"/>
  <c r="V15" i="8"/>
  <c r="V15" i="14"/>
  <c r="W15" i="14"/>
  <c r="AB14" i="14"/>
  <c r="AA14" i="14"/>
  <c r="O14" i="14"/>
  <c r="U14" i="4"/>
  <c r="AH14" i="14"/>
  <c r="AF14" i="14"/>
  <c r="AA13" i="14"/>
  <c r="AB13" i="14" s="1"/>
  <c r="AC13" i="14" s="1"/>
  <c r="Z13" i="4"/>
  <c r="AA13" i="4" s="1"/>
  <c r="AB13" i="4" s="1"/>
  <c r="AA17" i="4"/>
  <c r="AB26" i="14"/>
  <c r="AA26" i="14"/>
  <c r="Z17" i="4"/>
  <c r="AA28" i="4"/>
  <c r="Z23" i="4"/>
  <c r="AA18" i="14"/>
  <c r="V26" i="14"/>
  <c r="AA22" i="4"/>
  <c r="Z28" i="4"/>
  <c r="AI26" i="14"/>
  <c r="AB18" i="14"/>
  <c r="W26" i="14"/>
  <c r="Z22" i="4"/>
  <c r="AH11" i="8"/>
  <c r="AI11" i="8"/>
  <c r="AJ11" i="8"/>
  <c r="V17" i="8"/>
  <c r="W17" i="8"/>
  <c r="AS23" i="8"/>
  <c r="AS25" i="8"/>
  <c r="Z15" i="4"/>
  <c r="V11" i="8"/>
  <c r="W11" i="8"/>
  <c r="AH16" i="8"/>
  <c r="AI16" i="8"/>
  <c r="AJ16" i="8" s="1"/>
  <c r="AK16" i="8" s="1"/>
  <c r="W27" i="8"/>
  <c r="V27" i="8"/>
  <c r="AS16" i="8"/>
  <c r="W21" i="8"/>
  <c r="V21" i="8"/>
  <c r="W25" i="8"/>
  <c r="V25" i="8"/>
  <c r="AL21" i="8"/>
  <c r="AM21" i="8"/>
  <c r="V24" i="8"/>
  <c r="W24" i="8"/>
  <c r="AS12" i="8"/>
  <c r="AJ27" i="8"/>
  <c r="AI27" i="8"/>
  <c r="AH27" i="8"/>
  <c r="AJ25" i="8"/>
  <c r="AK25" i="8" s="1"/>
  <c r="AH25" i="8"/>
  <c r="AI25" i="8"/>
  <c r="AB15" i="4"/>
  <c r="AA23" i="4"/>
  <c r="P35" i="4"/>
  <c r="AJ18" i="8"/>
  <c r="AK18" i="8" s="1"/>
  <c r="AH18" i="8"/>
  <c r="AI18" i="8"/>
  <c r="AS14" i="8"/>
  <c r="AT27" i="8"/>
  <c r="AU27" i="8"/>
  <c r="Q12" i="8" l="1"/>
  <c r="R18" i="8"/>
  <c r="Q18" i="8"/>
  <c r="Q24" i="8"/>
  <c r="R24" i="8"/>
  <c r="Q26" i="8"/>
  <c r="R26" i="8"/>
  <c r="Q27" i="8"/>
  <c r="R27" i="8"/>
  <c r="R23" i="8"/>
  <c r="Q23" i="8"/>
  <c r="Q20" i="8"/>
  <c r="R20" i="8"/>
  <c r="Q13" i="8"/>
  <c r="R13" i="8"/>
  <c r="Q17" i="8"/>
  <c r="R17" i="8"/>
  <c r="R22" i="8"/>
  <c r="Q22" i="8"/>
  <c r="R25" i="8"/>
  <c r="Q25" i="8"/>
  <c r="Q14" i="8"/>
  <c r="R14" i="8"/>
  <c r="Q19" i="8"/>
  <c r="R19" i="8"/>
  <c r="R21" i="8"/>
  <c r="Q21" i="8"/>
  <c r="Q28" i="8"/>
  <c r="R28" i="8"/>
  <c r="R16" i="8"/>
  <c r="Q16" i="8"/>
  <c r="AH17" i="4"/>
  <c r="Q15" i="3" s="1"/>
  <c r="X15" i="3" s="1" a="1"/>
  <c r="X15" i="3" s="1"/>
  <c r="AS11" i="8"/>
  <c r="AU11" i="8" s="1"/>
  <c r="S16" i="3"/>
  <c r="AH24" i="4"/>
  <c r="AH27" i="4"/>
  <c r="AH22" i="4"/>
  <c r="AH21" i="4"/>
  <c r="N35" i="4"/>
  <c r="Y10" i="8"/>
  <c r="Z10" i="8"/>
  <c r="V10" i="8"/>
  <c r="V35" i="8" s="1"/>
  <c r="W10" i="8"/>
  <c r="W35" i="8" s="1"/>
  <c r="AU13" i="8"/>
  <c r="X13" i="14"/>
  <c r="AI13" i="14" s="1"/>
  <c r="R11" i="3" s="1"/>
  <c r="Y11" i="3" s="1" a="1"/>
  <c r="Y11" i="3" s="1"/>
  <c r="W13" i="4"/>
  <c r="AH13" i="4" s="1"/>
  <c r="Q11" i="3" s="1"/>
  <c r="X11" i="3" s="1" a="1"/>
  <c r="X11" i="3" s="1"/>
  <c r="AB13" i="8"/>
  <c r="AC13" i="8" s="1"/>
  <c r="Y11" i="8"/>
  <c r="AB11" i="8" s="1"/>
  <c r="AF24" i="8"/>
  <c r="AE24" i="8"/>
  <c r="AS10" i="8"/>
  <c r="AU10" i="8" s="1"/>
  <c r="AF26" i="8"/>
  <c r="AE26" i="8"/>
  <c r="AE16" i="8"/>
  <c r="AF16" i="8"/>
  <c r="AE15" i="8"/>
  <c r="AF15" i="8"/>
  <c r="AE17" i="8"/>
  <c r="AF17" i="8"/>
  <c r="AE21" i="8"/>
  <c r="AF21" i="8"/>
  <c r="AE12" i="8"/>
  <c r="AF12" i="8"/>
  <c r="AE23" i="8"/>
  <c r="AF23" i="8"/>
  <c r="AE14" i="8"/>
  <c r="AF14" i="8"/>
  <c r="AE28" i="8"/>
  <c r="AF28" i="8"/>
  <c r="AF19" i="8"/>
  <c r="AE19" i="8"/>
  <c r="AE27" i="8"/>
  <c r="AF27" i="8"/>
  <c r="AE22" i="8"/>
  <c r="AF22" i="8"/>
  <c r="AE25" i="8"/>
  <c r="AF25" i="8"/>
  <c r="AE20" i="8"/>
  <c r="AF20" i="8"/>
  <c r="AE18" i="8"/>
  <c r="AF18" i="8"/>
  <c r="X14" i="14"/>
  <c r="AI14" i="14" s="1"/>
  <c r="R12" i="3" s="1"/>
  <c r="Y12" i="3" s="1" a="1"/>
  <c r="Y12" i="3" s="1"/>
  <c r="W14" i="4"/>
  <c r="AH14" i="4" s="1"/>
  <c r="Q12" i="3" s="1"/>
  <c r="X12" i="3" s="1" a="1"/>
  <c r="X12" i="3" s="1"/>
  <c r="X11" i="14"/>
  <c r="AI11" i="14" s="1"/>
  <c r="R9" i="3" s="1"/>
  <c r="Y9" i="3" s="1" a="1"/>
  <c r="Y9" i="3" s="1"/>
  <c r="AI16" i="14"/>
  <c r="R14" i="3" s="1"/>
  <c r="Y14" i="3" s="1" a="1"/>
  <c r="Y14" i="3" s="1"/>
  <c r="AI18" i="14"/>
  <c r="R16" i="3" s="1"/>
  <c r="Y16" i="3" s="1" a="1"/>
  <c r="Y16" i="3" s="1"/>
  <c r="AH16" i="4"/>
  <c r="AG13" i="8"/>
  <c r="AH13" i="8" s="1"/>
  <c r="AI13" i="8" s="1"/>
  <c r="AJ13" i="8" s="1"/>
  <c r="AK13" i="8" s="1"/>
  <c r="AM13" i="8" s="1"/>
  <c r="W11" i="4"/>
  <c r="AH11" i="4" s="1"/>
  <c r="Q9" i="3" s="1"/>
  <c r="X9" i="3" s="1" a="1"/>
  <c r="X9" i="3" s="1"/>
  <c r="X12" i="14"/>
  <c r="AI12" i="14" s="1"/>
  <c r="R10" i="3" s="1"/>
  <c r="Y10" i="3" s="1" a="1"/>
  <c r="Y10" i="3" s="1"/>
  <c r="Q35" i="14"/>
  <c r="W12" i="4"/>
  <c r="AH20" i="4"/>
  <c r="O35" i="14"/>
  <c r="AM22" i="8"/>
  <c r="AH28" i="4"/>
  <c r="AV22" i="8"/>
  <c r="AS22" i="8"/>
  <c r="AT22" i="8" s="1"/>
  <c r="AL23" i="8"/>
  <c r="AI17" i="14"/>
  <c r="R15" i="3" s="1"/>
  <c r="Y15" i="3" s="1" a="1"/>
  <c r="Y15" i="3" s="1"/>
  <c r="AI28" i="14"/>
  <c r="AV17" i="8"/>
  <c r="AL14" i="8"/>
  <c r="AH35" i="14"/>
  <c r="AI24" i="14"/>
  <c r="AI19" i="14"/>
  <c r="R17" i="3" s="1"/>
  <c r="Y17" i="3" s="1" a="1"/>
  <c r="Y17" i="3" s="1"/>
  <c r="AT28" i="8"/>
  <c r="AU28" i="8"/>
  <c r="X10" i="14"/>
  <c r="AI10" i="14" s="1"/>
  <c r="R8" i="3" s="1"/>
  <c r="Y8" i="3" s="1" a="1"/>
  <c r="Y8" i="3" s="1"/>
  <c r="W10" i="4"/>
  <c r="AH10" i="4" s="1"/>
  <c r="AH26" i="4"/>
  <c r="AG35" i="4"/>
  <c r="AI21" i="14"/>
  <c r="AI20" i="14"/>
  <c r="AL19" i="8"/>
  <c r="AM19" i="8"/>
  <c r="AL15" i="8"/>
  <c r="AV28" i="8"/>
  <c r="AL28" i="8"/>
  <c r="AM28" i="8"/>
  <c r="AI23" i="14"/>
  <c r="AV19" i="8"/>
  <c r="AH19" i="4"/>
  <c r="Q17" i="3" s="1"/>
  <c r="X17" i="3" s="1" a="1"/>
  <c r="X17" i="3" s="1"/>
  <c r="AS26" i="8"/>
  <c r="AV26" i="8"/>
  <c r="AM24" i="8"/>
  <c r="AL24" i="8"/>
  <c r="AS24" i="8"/>
  <c r="AV24" i="8"/>
  <c r="AK20" i="8"/>
  <c r="AV20" i="8"/>
  <c r="AL26" i="8"/>
  <c r="AM26" i="8"/>
  <c r="AV16" i="8"/>
  <c r="X15" i="14"/>
  <c r="AI15" i="14" s="1"/>
  <c r="R13" i="3" s="1"/>
  <c r="Y13" i="3" s="1" a="1"/>
  <c r="Y13" i="3" s="1"/>
  <c r="W15" i="4"/>
  <c r="AH15" i="4" s="1"/>
  <c r="Q13" i="3" s="1"/>
  <c r="X13" i="3" s="1" a="1"/>
  <c r="X13" i="3" s="1"/>
  <c r="AC35" i="14"/>
  <c r="AB35" i="4"/>
  <c r="AU12" i="8"/>
  <c r="AT12" i="8"/>
  <c r="AU19" i="8"/>
  <c r="AT19" i="8"/>
  <c r="AU16" i="8"/>
  <c r="AT16" i="8"/>
  <c r="AU25" i="8"/>
  <c r="AT25" i="8"/>
  <c r="AL12" i="8"/>
  <c r="AM12" i="8"/>
  <c r="AV18" i="8"/>
  <c r="AK11" i="8"/>
  <c r="AT14" i="8"/>
  <c r="AU14" i="8"/>
  <c r="AK27" i="8"/>
  <c r="AV27" i="8"/>
  <c r="AM16" i="8"/>
  <c r="AL16" i="8"/>
  <c r="AV25" i="8"/>
  <c r="AT23" i="8"/>
  <c r="AU23" i="8"/>
  <c r="AM18" i="8"/>
  <c r="AL18" i="8"/>
  <c r="AL25" i="8"/>
  <c r="AM25" i="8"/>
  <c r="AV21" i="8"/>
  <c r="AV23" i="8"/>
  <c r="AU15" i="8"/>
  <c r="AT15" i="8"/>
  <c r="Q8" i="3" l="1"/>
  <c r="X8" i="3" s="1" a="1"/>
  <c r="X8" i="3" s="1"/>
  <c r="AX17" i="8"/>
  <c r="V15" i="3" s="1"/>
  <c r="Z15" i="3" s="1" a="1"/>
  <c r="Z15" i="3" s="1"/>
  <c r="AH12" i="4"/>
  <c r="Q10" i="3" s="1"/>
  <c r="X10" i="3" s="1" a="1"/>
  <c r="X10" i="3" s="1"/>
  <c r="S15" i="3"/>
  <c r="AW17" i="8"/>
  <c r="P15" i="3" s="1"/>
  <c r="W15" i="3" s="1" a="1"/>
  <c r="W15" i="3" s="1"/>
  <c r="T12" i="3"/>
  <c r="T16" i="3"/>
  <c r="T14" i="3"/>
  <c r="T15" i="3"/>
  <c r="T11" i="3"/>
  <c r="T13" i="3"/>
  <c r="AT11" i="8"/>
  <c r="T10" i="3"/>
  <c r="T17" i="3"/>
  <c r="R35" i="8"/>
  <c r="T9" i="3"/>
  <c r="S11" i="3"/>
  <c r="S13" i="3"/>
  <c r="S12" i="3"/>
  <c r="S17" i="3"/>
  <c r="Q35" i="8"/>
  <c r="AD13" i="8"/>
  <c r="AF13" i="8" s="1"/>
  <c r="AX13" i="8" s="1"/>
  <c r="V11" i="3" s="1"/>
  <c r="Z11" i="3" s="1" a="1"/>
  <c r="Z11" i="3" s="1"/>
  <c r="AV13" i="8"/>
  <c r="AA11" i="8"/>
  <c r="AC11" i="8" s="1"/>
  <c r="AD11" i="8" s="1"/>
  <c r="AF11" i="8" s="1"/>
  <c r="AT10" i="8"/>
  <c r="AW22" i="8"/>
  <c r="Q14" i="3"/>
  <c r="X14" i="3" s="1" a="1"/>
  <c r="X14" i="3" s="1"/>
  <c r="AA10" i="8"/>
  <c r="AV14" i="8"/>
  <c r="AL13" i="8"/>
  <c r="T8" i="3"/>
  <c r="AH10" i="8"/>
  <c r="AI10" i="8" s="1"/>
  <c r="AJ10" i="8" s="1"/>
  <c r="AU22" i="8"/>
  <c r="AX22" i="8" s="1"/>
  <c r="S9" i="3"/>
  <c r="AW23" i="8"/>
  <c r="AW19" i="8"/>
  <c r="P17" i="3" s="1"/>
  <c r="W17" i="3" s="1" a="1"/>
  <c r="W17" i="3" s="1"/>
  <c r="AX25" i="8"/>
  <c r="AX23" i="8"/>
  <c r="AX16" i="8"/>
  <c r="V14" i="3" s="1"/>
  <c r="Z14" i="3" s="1" a="1"/>
  <c r="Z14" i="3" s="1"/>
  <c r="AW18" i="8"/>
  <c r="P16" i="3" s="1"/>
  <c r="W16" i="3" s="1" a="1"/>
  <c r="W16" i="3" s="1"/>
  <c r="AW16" i="8"/>
  <c r="P14" i="3" s="1"/>
  <c r="W14" i="3" s="1" a="1"/>
  <c r="W14" i="3" s="1"/>
  <c r="AX19" i="8"/>
  <c r="V17" i="3" s="1"/>
  <c r="Z17" i="3" s="1" a="1"/>
  <c r="Z17" i="3" s="1"/>
  <c r="AX18" i="8"/>
  <c r="V16" i="3" s="1"/>
  <c r="Z16" i="3" s="1" a="1"/>
  <c r="Z16" i="3" s="1"/>
  <c r="AW25" i="8"/>
  <c r="AX28" i="8"/>
  <c r="AW28" i="8"/>
  <c r="AT24" i="8"/>
  <c r="AW24" i="8" s="1"/>
  <c r="AU24" i="8"/>
  <c r="AX24" i="8" s="1"/>
  <c r="AT26" i="8"/>
  <c r="AW26" i="8" s="1"/>
  <c r="AU26" i="8"/>
  <c r="AX26" i="8" s="1"/>
  <c r="AM20" i="8"/>
  <c r="AX20" i="8" s="1"/>
  <c r="AL20" i="8"/>
  <c r="AW20" i="8" s="1"/>
  <c r="W35" i="4"/>
  <c r="G36" i="4" s="1"/>
  <c r="X35" i="14"/>
  <c r="G36" i="14" s="1"/>
  <c r="AL27" i="8"/>
  <c r="AW27" i="8" s="1"/>
  <c r="AM27" i="8"/>
  <c r="AX27" i="8" s="1"/>
  <c r="AW21" i="8"/>
  <c r="AX21" i="8"/>
  <c r="AL11" i="8"/>
  <c r="AM11" i="8"/>
  <c r="AI35" i="14"/>
  <c r="AY17" i="8" l="1"/>
  <c r="S8" i="3"/>
  <c r="G37" i="14"/>
  <c r="G37" i="4"/>
  <c r="AH35" i="4"/>
  <c r="S10" i="3"/>
  <c r="U15" i="3"/>
  <c r="AX11" i="8"/>
  <c r="S14" i="3"/>
  <c r="U16" i="3"/>
  <c r="U17" i="3"/>
  <c r="AE13" i="8"/>
  <c r="AW13" i="8" s="1"/>
  <c r="AE11" i="8"/>
  <c r="AY22" i="8"/>
  <c r="U14" i="3"/>
  <c r="AW15" i="8"/>
  <c r="P13" i="3" s="1"/>
  <c r="W13" i="3" s="1" a="1"/>
  <c r="W13" i="3" s="1"/>
  <c r="AB10" i="8"/>
  <c r="AC10" i="8" s="1"/>
  <c r="AX14" i="8"/>
  <c r="V12" i="3" s="1"/>
  <c r="Z12" i="3" s="1" a="1"/>
  <c r="Z12" i="3" s="1"/>
  <c r="AW14" i="8"/>
  <c r="P12" i="3" s="1"/>
  <c r="W12" i="3" s="1" a="1"/>
  <c r="W12" i="3" s="1"/>
  <c r="AK10" i="8"/>
  <c r="AY20" i="8"/>
  <c r="AY23" i="8"/>
  <c r="AY25" i="8"/>
  <c r="AY28" i="8"/>
  <c r="AY18" i="8"/>
  <c r="AY21" i="8"/>
  <c r="AY19" i="8"/>
  <c r="AY16" i="8"/>
  <c r="AY24" i="8"/>
  <c r="AY27" i="8"/>
  <c r="AY26" i="8"/>
  <c r="AT35" i="8"/>
  <c r="AU35" i="8"/>
  <c r="U13" i="3" l="1"/>
  <c r="U12" i="3"/>
  <c r="P11" i="3"/>
  <c r="W11" i="3" s="1" a="1"/>
  <c r="W11" i="3" s="1"/>
  <c r="AY13" i="8"/>
  <c r="AD10" i="8"/>
  <c r="AE10" i="8" s="1"/>
  <c r="AV10" i="8"/>
  <c r="AV15" i="8"/>
  <c r="AX15" i="8"/>
  <c r="V13" i="3" s="1"/>
  <c r="Z13" i="3" s="1" a="1"/>
  <c r="Z13" i="3" s="1"/>
  <c r="AV11" i="8"/>
  <c r="AY14" i="8"/>
  <c r="AL10" i="8"/>
  <c r="AL35" i="8" s="1"/>
  <c r="AM10" i="8"/>
  <c r="AM35" i="8" s="1"/>
  <c r="AV12" i="8"/>
  <c r="AX12" i="8"/>
  <c r="V10" i="3" s="1"/>
  <c r="Z10" i="3" s="1" a="1"/>
  <c r="Z10" i="3" s="1"/>
  <c r="AW12" i="8"/>
  <c r="U11" i="3" l="1"/>
  <c r="AF10" i="8"/>
  <c r="AX10" i="8" s="1"/>
  <c r="V8" i="3" s="1"/>
  <c r="Z8" i="3" s="1" a="1"/>
  <c r="Z8" i="3" s="1"/>
  <c r="AY15" i="8"/>
  <c r="AW10" i="8"/>
  <c r="P8" i="3" s="1"/>
  <c r="W8" i="3" s="1" a="1"/>
  <c r="W8" i="3" s="1"/>
  <c r="V9" i="3"/>
  <c r="Z9" i="3" s="1" a="1"/>
  <c r="Z9" i="3" s="1"/>
  <c r="AW11" i="8"/>
  <c r="AV35" i="8"/>
  <c r="P10" i="3"/>
  <c r="W10" i="3" s="1" a="1"/>
  <c r="W10" i="3" s="1"/>
  <c r="AY12" i="8"/>
  <c r="U10" i="3" l="1"/>
  <c r="U8" i="3"/>
  <c r="AY10" i="8"/>
  <c r="AW35" i="8"/>
  <c r="AY35" i="8" s="1"/>
  <c r="AF35" i="8"/>
  <c r="G40" i="8" s="1"/>
  <c r="U34" i="3" s="1"/>
  <c r="AE35" i="8"/>
  <c r="P9" i="3"/>
  <c r="W9" i="3" s="1" a="1"/>
  <c r="W9" i="3" s="1"/>
  <c r="AY11" i="8"/>
  <c r="AX35" i="8"/>
  <c r="U9" i="3" l="1"/>
  <c r="G39" i="8"/>
  <c r="U33" i="3" s="1"/>
  <c r="J39" i="8"/>
  <c r="J38"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Stephen.Russell</author>
  </authors>
  <commentList>
    <comment ref="B67" authorId="0" shapeId="0" xr:uid="{00000000-0006-0000-0800-000001000000}">
      <text>
        <r>
          <rPr>
            <b/>
            <sz val="8"/>
            <color indexed="81"/>
            <rFont val="Tahoma"/>
            <family val="2"/>
          </rPr>
          <t>Stephen.Russell:</t>
        </r>
        <r>
          <rPr>
            <sz val="8"/>
            <color indexed="81"/>
            <rFont val="Tahoma"/>
            <family val="2"/>
          </rPr>
          <t xml:space="preserve">
The data in these tables have been calculated based on assumptions of fuel density - the default values for fuel density used in these calculations are from the stationary combustion worksheet.
If liquid fuels have been expressed on a mass or energy basis, then the default data supplied by the IPCC are sufficient to calculate CH4 emissions</t>
        </r>
      </text>
    </comment>
    <comment ref="B314" authorId="0" shapeId="0" xr:uid="{00000000-0006-0000-0800-000002000000}">
      <text>
        <r>
          <rPr>
            <b/>
            <sz val="8"/>
            <color indexed="81"/>
            <rFont val="Tahoma"/>
            <family val="2"/>
          </rPr>
          <t>Stephen.Russell:</t>
        </r>
        <r>
          <rPr>
            <sz val="8"/>
            <color indexed="81"/>
            <rFont val="Tahoma"/>
            <family val="2"/>
          </rPr>
          <t xml:space="preserve">
The data in these tables have been calculated based on assumptions of fuel density - the default values for fuel density used in these calculations are from the stationary combustion worksheet.
If gaseous fuels have been expressed on a mass or energy basis, then the default data supplied by the IPCC are sufficient to calculate CO2 emissions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Stephen.Russell</author>
  </authors>
  <commentList>
    <comment ref="B67" authorId="0" shapeId="0" xr:uid="{00000000-0006-0000-0A00-000001000000}">
      <text>
        <r>
          <rPr>
            <sz val="8"/>
            <color indexed="81"/>
            <rFont val="Tahoma"/>
            <family val="2"/>
          </rPr>
          <t xml:space="preserve">The data in these tables have been calculated based on assumptions of fuel density - the default values for fuel density used in these calculations are from the emission factors tools and values entered in the "Settings" by the user. </t>
        </r>
      </text>
    </comment>
    <comment ref="B313" authorId="0" shapeId="0" xr:uid="{87099B06-4A1B-4291-91B2-75FF2079DF4B}">
      <text>
        <r>
          <rPr>
            <b/>
            <sz val="8"/>
            <color indexed="81"/>
            <rFont val="Tahoma"/>
            <family val="2"/>
          </rPr>
          <t>Stephen.Russell:</t>
        </r>
        <r>
          <rPr>
            <sz val="8"/>
            <color indexed="81"/>
            <rFont val="Tahoma"/>
            <family val="2"/>
          </rPr>
          <t xml:space="preserve">
The data in these tables have been calculated based on assumptions of fuel density - the default values for fuel density used in these calculations are from the stationary combustion worksheet.
If gaseous fuels have been expressed on a mass or energy basis, then the default data supplied by the IPCC are sufficient to calculate CO2 emissions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<sst xmlns="http://schemas.openxmlformats.org/spreadsheetml/2006/main" count="4092" uniqueCount="780">
  <si>
    <t>Blast furnace gas is produced during the combustion of coke in blast furnaces in the iron and steel industry. It is recovered and used as a fuel partly within the plant and partly in other steel industry processes or in power stations equipped to burn it.</t>
  </si>
  <si>
    <t>Oxygen steel furnace gas is obtained as a by-product of the production of steel in an oxygen furnace and is recovered on leaving the furnace. The gas is also known as converter gas, LD gas or BOS gas.</t>
  </si>
  <si>
    <t>Sulphite lyes is an alkaline spent liquor from the digesters in the production of sulphate or soda pulp during the manufacture of paper where the energy content derives from the lignin removed from the wood pulp. This fuel in its concentrated form is usually 65-70 percent solid.</t>
  </si>
  <si>
    <t>Biogasoline should only contain that part of the fuel that relates to the quantities of biofuel and not to the total volume of liquids into which the biofuels are blended. This category includes bioethanol (ethanol produced from biomass and/or the biodegradable fraction of waste), biomethanol (methanol produced from biomass and/or the biodegradable fraction of waste), bioETBE (ethyl-tertio-butyl-ether produced on the basis of bioethanol: the percentage by volume of bioETBE that is calculated as biofuel is 47 percent) and bioMTBE (methyl-tertio-butyl-ether produced on the basis of biomethanol: the percentage by volume of bioMTBE that is calculated as biofuel is 36 percent).</t>
  </si>
  <si>
    <t>Biodiesels should only contain that part of the fuel that relates to the quantities of biofuel and not to the total volume of liquids into which the biofuels are blended. This category includes biodiesel (a methyl-ester produced from vegetable or animal oil, of diesel quality), biodimethylether (dimethylether produced from biomass), fischer tropsh (fischer tropsh produced from biomass), cold pressed bio oil (oil produced from oil seed
through mechanical processing only) and all other liquid biofuels which are added to, blended with or used straight as transport diesel.</t>
  </si>
  <si>
    <t>Sludge gas is derived from the anaerobic fermentation of biomass and solid wastes from sewage and animal slurries and combusted to produce heat and/or power.</t>
  </si>
  <si>
    <t>Relevant Measurement units (redundant column)</t>
  </si>
  <si>
    <t>Look up key for fuel-specific measurement units</t>
  </si>
  <si>
    <t>Table XX. Listings of the primary fuel categories</t>
  </si>
  <si>
    <t>Table xx. This table allows the tool to map the user's fuel selection to a key that can be referenced by the INDIRECT function</t>
  </si>
  <si>
    <t>Table XX. Fuel conversion factors for converting heating values from a LHV basis to a HHV basis</t>
  </si>
  <si>
    <t>Conversion factor</t>
  </si>
  <si>
    <t>Ethane is a naturally gaseous straight-chain hydrocarbon (C2H6). It is a colourless paraffinic gas which is extracted from natural gas and refinery gas streams.</t>
  </si>
  <si>
    <t>Naphtha is a feedstock destined either for the petrochemical industry (e.g. ethylene manufacture or aromatics production) or for gasoline production by reforming or isomerisation within the refinery. Naphtha comprises material in the 30ºC and 210ºC distillation range or part of this range.</t>
  </si>
  <si>
    <t>Lubricants are hydrocarbons produced from distillate or residue; they are mainly used to reduce friction between bearing surfaces. This category includes all finished grades of lubricating oil, from spindle oil to cylinder oil, and those used in greases, including motor oils and all grades of lubricating oil base stocks.</t>
  </si>
  <si>
    <t>Anthracite is a high rank coal used for industrial and residential applications. It has generally less than 10 percent volatile matter and a high carbon content (about 90 percent fixed carbon). Its gross calorific value is greater than 23 865 kJ/kg (5 700 kcal/kg) on an ash-free but moist basis.</t>
  </si>
  <si>
    <t>Coking coal refers to bituminous coal with a quality that allows the production of a coke suitable to support a blast furnace charge. Its gross calorific value is greater than 23 865 kJ/kg (5 700 kcal/kg) on an ash-free but moist basis.</t>
  </si>
  <si>
    <t>Other bituminous coal is used for steam raising purposes and includes all bituminous coal that is not included under coking coal. It is characterized by higher volatile matter than anthracite (more than 10 percent) and lower carbon content (less than 90 percent fixed carbon). Its gross calorific value is greater than 23 865 kJ/kg (5 700 kcal/kg) on an ash-free but moist basis.</t>
  </si>
  <si>
    <t>Non-agglomerating coals with a gross calorific value between 17 435 kJ/kg (4 165 kcal/kg) and 23 865 kJ/kg (5 700 kcal/kg) containing more than 31 percent volatile matter on a dry mineral matter free basis.</t>
  </si>
  <si>
    <t>Brown coal briquettes (BKB) are composition fuels manufactured from lignite/brown coal, produced by briquetting under high pressure. These figures include dried lignite fines and dust</t>
  </si>
  <si>
    <t>Patent fuel is a composition fuel manufactured from hard coal fines with the addition of a binding agent. The amount of patent fuel produced may, therefore, be slightly higher than the actual amount of coal consumed in the transformation process.</t>
  </si>
  <si>
    <t>Fuel</t>
  </si>
  <si>
    <t>Orimulsion</t>
  </si>
  <si>
    <t>Ethane</t>
  </si>
  <si>
    <t>Naphtha</t>
  </si>
  <si>
    <t>Bitumen</t>
  </si>
  <si>
    <t>Lubricants</t>
  </si>
  <si>
    <t>Anthracite</t>
  </si>
  <si>
    <t>Lignite</t>
  </si>
  <si>
    <t>Oil shale and tar sands</t>
  </si>
  <si>
    <t>Charcoal</t>
  </si>
  <si>
    <t>Biogasoline</t>
  </si>
  <si>
    <t>Biodiesels</t>
  </si>
  <si>
    <t>Peat</t>
  </si>
  <si>
    <t>Oil_products</t>
  </si>
  <si>
    <t>Coal_products</t>
  </si>
  <si>
    <t>Natural_gas</t>
  </si>
  <si>
    <t>Other_waste</t>
  </si>
  <si>
    <t>Biomass</t>
  </si>
  <si>
    <t>Fuel type</t>
  </si>
  <si>
    <t>Quantity burnt</t>
  </si>
  <si>
    <t>Units</t>
  </si>
  <si>
    <t>Source ID</t>
  </si>
  <si>
    <t>Energy</t>
  </si>
  <si>
    <t>kg/TJ</t>
  </si>
  <si>
    <t>TJ/Gg</t>
  </si>
  <si>
    <t>NA</t>
  </si>
  <si>
    <t>Liquid</t>
  </si>
  <si>
    <t>TJ</t>
  </si>
  <si>
    <t>GJ</t>
  </si>
  <si>
    <t>MJ</t>
  </si>
  <si>
    <t>KWh</t>
  </si>
  <si>
    <t>Therm</t>
  </si>
  <si>
    <t>/1000</t>
  </si>
  <si>
    <t>/1000000</t>
  </si>
  <si>
    <t>/1000000000</t>
  </si>
  <si>
    <t>/1000000000000*3600</t>
  </si>
  <si>
    <t>(/1000000)/0.9478</t>
  </si>
  <si>
    <t>User selection</t>
  </si>
  <si>
    <t>Solids</t>
  </si>
  <si>
    <t>Kg</t>
  </si>
  <si>
    <t>In other words, multiply by</t>
  </si>
  <si>
    <t>Liquids (only a subselection)</t>
  </si>
  <si>
    <t xml:space="preserve">barrel </t>
  </si>
  <si>
    <t xml:space="preserve">gallon </t>
  </si>
  <si>
    <t>litres</t>
  </si>
  <si>
    <t>foot3</t>
  </si>
  <si>
    <t>metre3</t>
  </si>
  <si>
    <t>Tonnes CO2 per</t>
  </si>
  <si>
    <t>Product of IPCC default values for heating value and energy conmtent</t>
  </si>
  <si>
    <t>Heating value</t>
  </si>
  <si>
    <t xml:space="preserve">EF on energy basis </t>
  </si>
  <si>
    <t>Table 2: Conversions needed to convert data expressed on an energy basis into emissions data</t>
  </si>
  <si>
    <t>Table = 'motor_gasoline'</t>
  </si>
  <si>
    <t>Natural gas should include: (1) Blended natural gas (sometimes also referred to as Town Gas or City Gas), a high calorific value gas obtained as a blend of natural gas with other gases; (2) City Gas, a high calorific value gas obtained as a blend of natural gas with other gases derived from other primary products, and usually distributed through the natural gas grid (eg coal seam methane); (3) Substitute natural gas, a high calorific value gas, manufactured by chemical conversion of a hydrocarbon fossil fuel, where the main raw materials are: natural gas, coal, oil and oil shale.</t>
  </si>
  <si>
    <t xml:space="preserve">Fuel extraction or energy-producing industries. Examples include public utilities and petroleum refineries, as well as industries that generate secondary and tertiary products, such as charcoal, from solid fuels. </t>
  </si>
  <si>
    <t>Table = 'aviation_gasoline'</t>
  </si>
  <si>
    <t>Table = 'jet_kerosene'</t>
  </si>
  <si>
    <t>Table = 'other_kerosene'</t>
  </si>
  <si>
    <t>Table = 'shale_oil'</t>
  </si>
  <si>
    <t>Table = 'crude_oil'</t>
  </si>
  <si>
    <t>kWh</t>
  </si>
  <si>
    <t>mmBtu</t>
  </si>
  <si>
    <t>litres (l)</t>
  </si>
  <si>
    <t>barrel (bbl)</t>
  </si>
  <si>
    <t>metric tonne (t)</t>
  </si>
  <si>
    <t>pound (lb)</t>
  </si>
  <si>
    <t>Crude_oil</t>
  </si>
  <si>
    <t>Motor_Gasoline</t>
  </si>
  <si>
    <t>Aviation_Gasoline</t>
  </si>
  <si>
    <t>Jet_Kerosene</t>
  </si>
  <si>
    <t>Other_Kerosene</t>
  </si>
  <si>
    <t>Shale_oil</t>
  </si>
  <si>
    <t>Gas/Diesel_oil</t>
  </si>
  <si>
    <t>Residual_fuel_oil</t>
  </si>
  <si>
    <t>Liquified_Petroleum_Gases</t>
  </si>
  <si>
    <t>Landfill_gas</t>
  </si>
  <si>
    <t>Listing = 'fuelTypes'</t>
  </si>
  <si>
    <t>List = 'Energy'</t>
  </si>
  <si>
    <t>Solid</t>
  </si>
  <si>
    <t>Gas</t>
  </si>
  <si>
    <t>Fuel State</t>
  </si>
  <si>
    <t>Table = 'unitStates'</t>
  </si>
  <si>
    <t>Formula to obtain emissions calculation in tonnes (multiply by amount of user selected units and by default IPCC EF in kg/TJ)</t>
  </si>
  <si>
    <t>Default CO2 factor (kg/TJ)</t>
  </si>
  <si>
    <t>CO2 emissions (tonnes)</t>
  </si>
  <si>
    <t>Correction factor to convert to tonnes CO2 (Taken from Table xx)</t>
  </si>
  <si>
    <t>For fuels expressed on a mass basis (code = 1)</t>
  </si>
  <si>
    <t>Table = 'liquidLiterEFs'</t>
  </si>
  <si>
    <t>EF assuming a liter basis (Taken from Table xx)</t>
  </si>
  <si>
    <t>Code for liquid unit (1-3). Taken from Table xx</t>
  </si>
  <si>
    <t>Liquid unit ID</t>
  </si>
  <si>
    <t>Gaseous unit ID</t>
  </si>
  <si>
    <t>CO2 emissions assuming a liter basis</t>
  </si>
  <si>
    <t>CO2 emissions corrected for use of different unit bases (gallons)</t>
  </si>
  <si>
    <t>Final corrected CO2 emissions from use of fuel expressed in any volume basis</t>
  </si>
  <si>
    <t>For fuels expressed on a gas basis (code = 3)</t>
  </si>
  <si>
    <t>Natural_Gas</t>
  </si>
  <si>
    <t>Emission factor (tonnes CO2/m3 of fuel)</t>
  </si>
  <si>
    <t>EF assuming a m3 basis (Taken from Table xx)</t>
  </si>
  <si>
    <t>Correcting for the use of ft3 as alternate unit</t>
  </si>
  <si>
    <t>Establising the code of the gas unit selected</t>
  </si>
  <si>
    <t>Biomass code (non-biomass = 1; biomass =2)</t>
  </si>
  <si>
    <t>Please select a fuel:</t>
  </si>
  <si>
    <t>User supplied data</t>
  </si>
  <si>
    <t>Manufacturing</t>
  </si>
  <si>
    <t>Commercial</t>
  </si>
  <si>
    <t>Institutional</t>
  </si>
  <si>
    <t>Residential</t>
  </si>
  <si>
    <t>Agriculture</t>
  </si>
  <si>
    <t>Forestry</t>
  </si>
  <si>
    <t>Fisheries</t>
  </si>
  <si>
    <t>Table = 'industryTypes'</t>
  </si>
  <si>
    <t>List of industries = 'Industries'</t>
  </si>
  <si>
    <t>Construction</t>
  </si>
  <si>
    <t>Listings referenced in the tool</t>
  </si>
  <si>
    <t>Industry</t>
  </si>
  <si>
    <t>Code</t>
  </si>
  <si>
    <t>http://www.ipcc-nggip.iges.or.jp/public/2006gl/pdf/2_Volume2/V2_2_Ch2_Stationary_Combustion.pdf</t>
  </si>
  <si>
    <t>Default EFs for CH4 (kg CH4/ TJ fuel). LHV/NCV basis</t>
  </si>
  <si>
    <t>Table name = 'Energy'</t>
  </si>
  <si>
    <t>Table name = 'Manufacturing'</t>
  </si>
  <si>
    <t>Table name = 'Construction'</t>
  </si>
  <si>
    <t>Table name = 'Commercial'</t>
  </si>
  <si>
    <t>Table name = 'Institutional'</t>
  </si>
  <si>
    <t>Table name = 'Residential'</t>
  </si>
  <si>
    <t>Table name = 'Agriculture'</t>
  </si>
  <si>
    <t>Table name = 'Forestry'</t>
  </si>
  <si>
    <t>Table name = 'Fisheries'</t>
  </si>
  <si>
    <t>Table XX. Heating values</t>
  </si>
  <si>
    <t>Variable</t>
  </si>
  <si>
    <t>Lower Heating Value (LHV) or Net Calorific Value (NCV)</t>
  </si>
  <si>
    <t>Higher Heating Value (HHV) or Gross Calorific Value (GCV)</t>
  </si>
  <si>
    <t>Name of table = 'heatingValueCodes'</t>
  </si>
  <si>
    <t>List of names = 'heatingValues'</t>
  </si>
  <si>
    <t>Please select…</t>
  </si>
  <si>
    <t>Default CH4 factor (kg/TJ)</t>
  </si>
  <si>
    <t>Sector</t>
  </si>
  <si>
    <t>Unit</t>
  </si>
  <si>
    <t>Correction factor to convert to tonnes CH4 (Taken from Table xx)</t>
  </si>
  <si>
    <t>CH4 emissions (tonnes)</t>
  </si>
  <si>
    <t>LHV (IPCC default)</t>
  </si>
  <si>
    <t>Product of EF and LHV</t>
  </si>
  <si>
    <t>Fuel density</t>
  </si>
  <si>
    <t>Final emission factor (assuming fuel consumption data has been measured in litres)</t>
  </si>
  <si>
    <t xml:space="preserve">Table xx. Fuel densities of various liquid and gaseous fuels </t>
  </si>
  <si>
    <t xml:space="preserve">Density </t>
  </si>
  <si>
    <t>Liquid fuels (kg/l)</t>
  </si>
  <si>
    <t>The following tables show the derivation of emission factors for specific gaseous fuels that have been expressed on a volume basis</t>
  </si>
  <si>
    <t>Fuel density (kg/m3)</t>
  </si>
  <si>
    <t>Gaseous Fuels (kg/m3)</t>
  </si>
  <si>
    <t>Table XX. Manufacturing</t>
  </si>
  <si>
    <t>Table XX. Construction</t>
  </si>
  <si>
    <t>Table XX. Commercial</t>
  </si>
  <si>
    <t>Table XX. Institutional</t>
  </si>
  <si>
    <t>Table XX. Residential</t>
  </si>
  <si>
    <t>Table XX. Agriculture</t>
  </si>
  <si>
    <t>Table XX. Forestry</t>
  </si>
  <si>
    <t>Table XX. Fisheries</t>
  </si>
  <si>
    <t>Table name = 'energyLiquidEFs'</t>
  </si>
  <si>
    <t>Table name = 'manufacturingLiquidEFs'</t>
  </si>
  <si>
    <t>Table name = 'constructionLiquidEFs'</t>
  </si>
  <si>
    <t>Table name = 'commercialLiquidEFs'</t>
  </si>
  <si>
    <t>Table name = 'institutionalLiquidEFs'</t>
  </si>
  <si>
    <t>Table name = 'residentialLiquidEFs'</t>
  </si>
  <si>
    <t>Table name = 'agricultureLiquidEFs'</t>
  </si>
  <si>
    <t>Table name = 'forestryLiquidEFs'</t>
  </si>
  <si>
    <t>Table xx. Error messages.</t>
  </si>
  <si>
    <t>Table name = 'errorMessageTable'</t>
  </si>
  <si>
    <t>When entering activity data using energy units (e.g., mmBtu or GJ), please ensure you select the heating value metric these data are based on. For default emission factors, this tool applies Lower Heating Values, unless told otherwise. For a custom emission factor, it assumes that the activity data are on the same heating value basis as the emission factor.</t>
  </si>
  <si>
    <t>i</t>
  </si>
  <si>
    <t xml:space="preserve">This page is not used in the spreadsheet </t>
  </si>
  <si>
    <t>Table name = 'fisheriesLiquidEFs'</t>
  </si>
  <si>
    <t>Search term for locating key for use with IndustryLiquidEFs</t>
  </si>
  <si>
    <t>Name of LiquidEF Table</t>
  </si>
  <si>
    <t>Name of GasEF Table</t>
  </si>
  <si>
    <t>energyLiquidEFs</t>
  </si>
  <si>
    <t>manufacturingLiquidEFs</t>
  </si>
  <si>
    <t>constructionLiquidEFs</t>
  </si>
  <si>
    <t>commercialLiquidEFs</t>
  </si>
  <si>
    <t>institutionalLiquidEFs</t>
  </si>
  <si>
    <t>residentialLiquidEFs</t>
  </si>
  <si>
    <t>agricultureLiquidEFs</t>
  </si>
  <si>
    <t>forestryLiquidEFs</t>
  </si>
  <si>
    <t>fisheriesLiquidEFs</t>
  </si>
  <si>
    <t>fisheriesGasEFs</t>
  </si>
  <si>
    <t>energyGasEFs</t>
  </si>
  <si>
    <t>manufacturingGasEFs</t>
  </si>
  <si>
    <t>constructionGasEFs</t>
  </si>
  <si>
    <t>commercialGasEFs</t>
  </si>
  <si>
    <t>institutionalGasEFs</t>
  </si>
  <si>
    <t>residentialGasEFs</t>
  </si>
  <si>
    <t>agricultureGasEFs</t>
  </si>
  <si>
    <t>forestryGasEFs</t>
  </si>
  <si>
    <t>Name of Table = 'industryEFTableKeys'</t>
  </si>
  <si>
    <t>CO2 emissions corrected for use of different unit bases (barrels)</t>
  </si>
  <si>
    <t>Search term for locating key for use with IndustryGasEFs</t>
  </si>
  <si>
    <t>Table name = 'energyGasEFs'</t>
  </si>
  <si>
    <t>Table name = 'manufacturingGasEFs'</t>
  </si>
  <si>
    <t>Table name = constructionGasEFs</t>
  </si>
  <si>
    <t>Table name = commercialGasEFs</t>
  </si>
  <si>
    <t>Table name = institutionalGasEFs</t>
  </si>
  <si>
    <t>Table name = residentialGasEFs</t>
  </si>
  <si>
    <t>Table name = agricultureGasEFs</t>
  </si>
  <si>
    <t>Table name = forestryGasEFs</t>
  </si>
  <si>
    <t>Table xx. Key table for accessing liquin and gas unit-specific EFs for different fuels</t>
  </si>
  <si>
    <t>Emissions from biomass component (tonnes CO2)</t>
  </si>
  <si>
    <t>Total Biomass emissions:</t>
  </si>
  <si>
    <t>Biomass CO2 emissions (subtotalled by state of fuel)</t>
  </si>
  <si>
    <t>metric tonnes</t>
  </si>
  <si>
    <t>CO2 emission factor (based on LHV data)</t>
  </si>
  <si>
    <t>Notes</t>
  </si>
  <si>
    <t>Fuel currently available as default within tool?</t>
  </si>
  <si>
    <t>Y</t>
  </si>
  <si>
    <t>N</t>
  </si>
  <si>
    <t>Name of table = 'fuelInfo'</t>
  </si>
  <si>
    <t>LHV/NGV data</t>
  </si>
  <si>
    <t>Data and listings used in the calculation of GHG emissions, especially CO2 emissions</t>
  </si>
  <si>
    <t>Data and listings used in the calculation of CH4 emissions</t>
  </si>
  <si>
    <t>The following tables show the derivation of CH4 emission factors for specific liquid fuels that have been expressed on a volume basis</t>
  </si>
  <si>
    <t>CH4 emissions subtotalled by fuel state (metric tonnes):</t>
  </si>
  <si>
    <t>Numbers controlling appearance of the warning message</t>
  </si>
  <si>
    <t>User-supplied data</t>
  </si>
  <si>
    <t>Fuel-specific data</t>
  </si>
  <si>
    <t>This worksheet operates behind the scenes to calculate the CH4 emissions from stationary fuel combustion. It relies principally on the tab 'Tier 1 CH4 EFs' for emission factors and conversion factors, though it also pulls LHV data from the tab 'CO2 EFs'</t>
  </si>
  <si>
    <t>This worksheet operates behind the scenes to calculate the CO2 emissions from stationary fuel combustion. It relies entirely on the tab 'CO2 EFs' for emission factors and conversion factors.</t>
  </si>
  <si>
    <t>This worksheet operates behind the scenes to calculate the N2O emissions from stationary fuel combustion. It relies principally on the tab 'Tier 1 N2O EFs' for emission factors and conversion factors, though it also pulls LHV data from the tab 'CO2 EFs'</t>
  </si>
  <si>
    <t>Emission factor (tonnes CH4/m3 of fuel)</t>
  </si>
  <si>
    <t>Default EFs for N20 (kg N2O/ TJ fuel). LHV/NCV basis</t>
  </si>
  <si>
    <t>Table name = 'EnergyN2O'</t>
  </si>
  <si>
    <t>Table name = 'ManufacturingN2O'</t>
  </si>
  <si>
    <t>Table name = 'ConstructionN2O'</t>
  </si>
  <si>
    <t>Table name = 'CommercialN2O'</t>
  </si>
  <si>
    <t>Table name = 'InstitutionalN2O'</t>
  </si>
  <si>
    <t>Table name = 'ResidentialN2O'</t>
  </si>
  <si>
    <t>Table name = 'AgricultureN2O'</t>
  </si>
  <si>
    <t>Table name = 'ForestryN2O'</t>
  </si>
  <si>
    <t>Table name = 'FisheriesN2O'</t>
  </si>
  <si>
    <t>The following tables show the derivation of N2O emission factors for specific liquid fuels that have been expressed on a volume basis</t>
  </si>
  <si>
    <t>Table name = 'energyLiquidEFsN2O'</t>
  </si>
  <si>
    <t>Table name = 'manufacturingLiquidEFsN2O'</t>
  </si>
  <si>
    <t>Table name = 'constructionLiquidEFsN2O'</t>
  </si>
  <si>
    <t>Table name = 'commercialLiquidEFsN2O'</t>
  </si>
  <si>
    <t>Table name = 'institutionalLiquidEFsN2O'</t>
  </si>
  <si>
    <t>Table name = 'residentialLiquidEFsN2O'</t>
  </si>
  <si>
    <t>Table name = 'agricultureLiquidEFsN2O'</t>
  </si>
  <si>
    <t>Table name = 'forestryLiquidEFsN2O'</t>
  </si>
  <si>
    <t>Table name = 'fisheriesLiquidEFsN2O'</t>
  </si>
  <si>
    <t>Table name = 'energyGasEFsN2O'</t>
  </si>
  <si>
    <t>Table name = 'manufacturingGasEFsN2O'</t>
  </si>
  <si>
    <t>Table name = constructionGasEFsN2O</t>
  </si>
  <si>
    <t>Table name = commercialGasEFsN2O</t>
  </si>
  <si>
    <t>Table name = institutionalGasEFsN2O</t>
  </si>
  <si>
    <t>Table name = residentialGasEFsN2O</t>
  </si>
  <si>
    <t>Table name = agricultureGasEFsN2O</t>
  </si>
  <si>
    <t>Table name = forestryGasEFsN2O</t>
  </si>
  <si>
    <t>Data and listings used in the calculation of N2O emissions</t>
  </si>
  <si>
    <t>Table name = fisheriesGasEFsN2O</t>
  </si>
  <si>
    <t>Default N2O factor (kg/TJ)</t>
  </si>
  <si>
    <t>EnergyN2O</t>
  </si>
  <si>
    <t>ManufacturingN2O</t>
  </si>
  <si>
    <t>ConstructionN2O</t>
  </si>
  <si>
    <t>CommercialN2O</t>
  </si>
  <si>
    <t>InstitutionalN2O</t>
  </si>
  <si>
    <t>ResidentialN2O</t>
  </si>
  <si>
    <t>AgricultureN2O</t>
  </si>
  <si>
    <t>ForestryN2O</t>
  </si>
  <si>
    <t>FisheriesN2O</t>
  </si>
  <si>
    <t>Key</t>
  </si>
  <si>
    <t>Table name = 'N2OIndustryKeys'</t>
  </si>
  <si>
    <t>Correction factor to convert to tonnes N2O (Taken from Table xx)</t>
  </si>
  <si>
    <t>N2O emissions (tonnes)</t>
  </si>
  <si>
    <t>Name of Table = 'industryEFTableKeysN2O'</t>
  </si>
  <si>
    <t>N2O emissions assuming a liter basis</t>
  </si>
  <si>
    <t>N2O emissions corrected for use of different unit bases (gallons)</t>
  </si>
  <si>
    <t>N2O emissions corrected for use of different unit bases (barrels)</t>
  </si>
  <si>
    <t>Final corrected N2O emissions from use of fuel expressed in any volume basis</t>
  </si>
  <si>
    <t xml:space="preserve">Ghost N2O spreadsheet </t>
  </si>
  <si>
    <t>Emissions from fuel combustion (irrespective of fuel state)</t>
  </si>
  <si>
    <t>Table XX. Defintions of the fuels covered by this tool:</t>
  </si>
  <si>
    <t>Definition</t>
  </si>
  <si>
    <t>Crude oil is a mineral oil consisting of a mixture of hydrocarbons of natural origin, being yellow to black in colour, of variable density and viscosity. It also includes lease condensate (separator liquids) which are recovered from gaseous hydrocarbons in lease separation facilities.</t>
  </si>
  <si>
    <t>All industries involved in the manufacture of derived products, such as metals (e.g., iron and steel, aluminum), chemicals (e.g., nitric acid, ammonia), pulp and paper, beverages, equipment and machinery, and textiles. Industries that generate secondary and tertiary products from solid fuels (e.g., charcoal) are included under the Energy category.</t>
  </si>
  <si>
    <t>Denominator (e.g., tonne fuel)</t>
  </si>
  <si>
    <t>This is light hydrocarbon oil for use in internal combustion engines such as motor vehicles, excluding aircraft. Motor gasoline is distilled between 35ºC and 215ºC and is used as a fuel for land based spark ignition engines. Motor gasoline may include additives, oxygenates and octane enhancers, including lead compounds such as TEL (Tetraethyl lead) and TML (Tetramethyl lead).</t>
  </si>
  <si>
    <t>Aviation gasoline is motor spirit prepared especially for aviation piston engines, with an octane number suited to the engine, a freezing point of -60ºC, and a distillation range usually within the limits of 30ºC and 180ºC.</t>
  </si>
  <si>
    <t>This is medium distillate used for aviation turbine power units. It has the same distillation characteristics and flash point as kerosene (between 150ºC and 300ºC but not generally above 250ºC). In addition, it has particular specifications (such as freezing point) which are established by the International Air Transport Association (IATA).</t>
  </si>
  <si>
    <t>A mineral oil extracted from oil shale.</t>
  </si>
  <si>
    <t>Other Kerosene comprises refined petroleum distillate intermediate in volatility between gasoline and gas/diesel oil. It is a medium oil distilling between 150ºC and 300ºC.</t>
  </si>
  <si>
    <t>This heading defines oils that make up the distillation residue. It comprises all residual fuel oils, including those obtained by blending. Its kinematic viscosity is above 0.1cm2 (10 cSt) at 80ºC. The flash point is always above 50ºC and the density is always more than 0.90 kg/l.</t>
  </si>
  <si>
    <t xml:space="preserve">This tool works without the need to adjust its default settings. However, if you have more specific information, you can change the following: </t>
  </si>
  <si>
    <t>State code</t>
  </si>
  <si>
    <t>Table = numeratorConversionTable</t>
  </si>
  <si>
    <t>This category includes general construction and special trade construction for buildings and civil engineering, building installation and building completion. It includes new work, repair, additions and alterations, the erection of prefabricated buildings or structures on the site, and also construction of a temporary nature.</t>
  </si>
  <si>
    <t>Examples include wholesale and retail trade, hotels and restaurants and automobile dealerships.</t>
  </si>
  <si>
    <t>Examples include health and education operations (e.g., schools and hospitals), public administration, insurance and financial services, real estate, and Research and Development.</t>
  </si>
  <si>
    <t>Households.</t>
  </si>
  <si>
    <t>This category covers the production of crops and livestock, and any service industries supporting the same.</t>
  </si>
  <si>
    <t>Forestry and logging industries.</t>
  </si>
  <si>
    <t>Fishing, fish hatcheries and farms, and any service industries supporting these operations.</t>
  </si>
  <si>
    <r>
      <t>You have supplied an emission factor based on energy units (e.g., tonnes CO</t>
    </r>
    <r>
      <rPr>
        <vertAlign val="subscript"/>
        <sz val="12"/>
        <rFont val="Arial"/>
        <family val="2"/>
      </rPr>
      <t>2</t>
    </r>
    <r>
      <rPr>
        <sz val="12"/>
        <rFont val="Arial"/>
        <family val="2"/>
      </rPr>
      <t xml:space="preserve"> / kWh fuel). Please ensure that you have indicated the heating value basis of this factor. </t>
    </r>
  </si>
  <si>
    <t xml:space="preserve">       Fuels:</t>
  </si>
  <si>
    <t xml:space="preserve">       Sectors:</t>
  </si>
  <si>
    <t>Please select a sector:</t>
  </si>
  <si>
    <t>Table = sectorDefinitions</t>
  </si>
  <si>
    <t>Table xx. Table of conversion factors to copnvert numerator of supplied EF to a consistent basis (tonnes GHG)</t>
  </si>
  <si>
    <t>Table xx. Table of conversion factors to convert denominator of supplied EF to a consistent basis (tonnes, TJ, litres, or m3))</t>
  </si>
  <si>
    <t>Table = denominatorConversionTable</t>
  </si>
  <si>
    <t>Numerator Conversion factor</t>
  </si>
  <si>
    <t xml:space="preserve"> EF in consistent units (tonnes GHG per TJ, litre, tonne or m3 of fuel)</t>
  </si>
  <si>
    <t>Mass</t>
  </si>
  <si>
    <t>LiquidVolume</t>
  </si>
  <si>
    <t>Gas volume</t>
  </si>
  <si>
    <t>fiftyone</t>
  </si>
  <si>
    <t>fiftytwo</t>
  </si>
  <si>
    <t>fiftythree</t>
  </si>
  <si>
    <t>fiftyfour</t>
  </si>
  <si>
    <t>Table xx. Table mapping the appropriate drop down unit selection choices in the spreadsheet based on the denominator of custom Efs</t>
  </si>
  <si>
    <t>Table = customUnit Map</t>
  </si>
  <si>
    <t>Calculations based on use of custom Efs</t>
  </si>
  <si>
    <t>Emission factor expressed on a common basis</t>
  </si>
  <si>
    <t>Uncorrected emissions (in tonnes)</t>
  </si>
  <si>
    <t>Correction factor</t>
  </si>
  <si>
    <t>Corrected emissions</t>
  </si>
  <si>
    <t>From</t>
  </si>
  <si>
    <t>TO</t>
  </si>
  <si>
    <t>L</t>
  </si>
  <si>
    <t>m3</t>
  </si>
  <si>
    <t>m4</t>
  </si>
  <si>
    <t>Table = 'customConversionFactors'</t>
  </si>
  <si>
    <t>Type of fuel</t>
  </si>
  <si>
    <t>Fossil fuel</t>
  </si>
  <si>
    <t>List = 'customFuelTypes'</t>
  </si>
  <si>
    <t>Total fossil fuel CO2 emissions:</t>
  </si>
  <si>
    <t>Not applicable</t>
  </si>
  <si>
    <t>List = HVList</t>
  </si>
  <si>
    <t>Heating value basis</t>
  </si>
  <si>
    <t>Lower</t>
  </si>
  <si>
    <t>Higher</t>
  </si>
  <si>
    <t>Higher'</t>
  </si>
  <si>
    <t>Lower'</t>
  </si>
  <si>
    <t>These are the light hydrocarbons fraction of the paraffin series, derived from refinery processes, crude oil stabilisation plants and natural gas processing plants comprising propane (C3H8) and butane (C4H10) or a combination of the two. They are normally liquefied under pressure for transportation and storage.</t>
  </si>
  <si>
    <t>Coke oven coke is the solid product obtained from the carbonisation of coal, principally coking coal, at high temperature. It is low in moisture content and volatile matter. Also included are semi-coke, a solid product obtained from the carbonisation of coal at a low temperature, lignite coke, semi-coke made from lignite/brown coal, coke breeze and foundry coke. Coke oven coke is also known as metallurgical coke.</t>
  </si>
  <si>
    <t>See coke oven coke</t>
  </si>
  <si>
    <t>Natural gas should include blended natural gas (sometimes also referred to as Town Gas or City Gas), a high calorific value gas obtained as a blend of natural gas with other gases City Gas), a high calorific value gas obtained as a blend of natural gas with other gases derived from other primary products, and usually distributed through the natural gas grid (eg coal seam methane). Blended natural gas should include substitute natural gas, a high calorific value gas, manufactured by chemical conversion of a hydrocarbon fossil fuel, where the main raw materials are: natural gas, coal, oil and oil shale.</t>
  </si>
  <si>
    <t>Non-biomass fraction of municipal waste includes waste produced by households, industry, hospitals and the tertiary sector which are incinerated at specific installations and used for energy purposes. Only the fraction of the fuel that is non-biodegradable should be included here.</t>
  </si>
  <si>
    <t>Wood and wood waste combusted directly for energy. This category also includes wood for charcoal production but not the actual production of charcoal (this would be double counting since charcoal is a secondary product).</t>
  </si>
  <si>
    <t>Charcoal combusted as energy covers the solid residue of the destructive distillation and pyrolysis of wood and other vegetal material.</t>
  </si>
  <si>
    <t>Table = GWPTable</t>
  </si>
  <si>
    <t>Emissions from fossil fuel component (tonnes CO2)</t>
  </si>
  <si>
    <t xml:space="preserve">Total N2O emissions (metric tonnes): </t>
  </si>
  <si>
    <t>Landfill gas is derived from the anaerobic fermentation of biomass and solid wastes in landfills and combusted to produce heat and/or power.</t>
  </si>
  <si>
    <t>Biomass fraction of municipal waste includes waste produced by households, industry, hospitals and the tertiary sector which are incinerated at specific installations and used for energy purposes. Only the fraction of the fuel that is biodegradable should be included here.</t>
  </si>
  <si>
    <t>Brown coal</t>
  </si>
  <si>
    <t>Brown coal (lignite) is a non-agglomerating coal with a gross calorific value of less than 17 435 kJ/kg (4 165 kcal/kg), and greater than 31 percent volatile matter on a dry mineral matter free basis.</t>
  </si>
  <si>
    <t>Lignite (brown coal) is a non-agglomerating coal with a gross calorific value of less than 17 435 kJ/kg (4 165 kcal/kg), and greater than 31 percent volatile matter on a dry mineral matter free basis.</t>
  </si>
  <si>
    <t>Semi-coke</t>
  </si>
  <si>
    <t>Coke breeze</t>
  </si>
  <si>
    <t>Metallurgical coke</t>
  </si>
  <si>
    <t>Town gas or city gas</t>
  </si>
  <si>
    <t>Coke oven coke</t>
  </si>
  <si>
    <t>List name = 'Fuels'</t>
  </si>
  <si>
    <t>Table name = 'FuelDefinitions'</t>
  </si>
  <si>
    <t>Shale oil</t>
  </si>
  <si>
    <t>Gas/Diesel oil</t>
  </si>
  <si>
    <t>Residual fuel oil</t>
  </si>
  <si>
    <t>Liquified Petroleum Gases</t>
  </si>
  <si>
    <t>Coking coal</t>
  </si>
  <si>
    <t>Other bituminous coal</t>
  </si>
  <si>
    <t>Sub bituminous coal</t>
  </si>
  <si>
    <t>Brown coal briquettes</t>
  </si>
  <si>
    <t>Patent fuel</t>
  </si>
  <si>
    <t>Lignite coke</t>
  </si>
  <si>
    <t>Natural gas</t>
  </si>
  <si>
    <t>Wood or Wood waste</t>
  </si>
  <si>
    <t>Landfill gas</t>
  </si>
  <si>
    <t>Municipal wastes. Biomass fraction</t>
  </si>
  <si>
    <t>Crude oil</t>
  </si>
  <si>
    <t>Motor gasoline</t>
  </si>
  <si>
    <t>Aviation gasoline</t>
  </si>
  <si>
    <t>Jet kerosene</t>
  </si>
  <si>
    <t>Other kerosene</t>
  </si>
  <si>
    <t>Municipal waste. Non-biomass fraction</t>
  </si>
  <si>
    <t>Other tools can be downloaded from the GHG Protocol website</t>
  </si>
  <si>
    <t>((/1000000)/0.9478)/10</t>
  </si>
  <si>
    <t>Table name = fisheriesGasEFs</t>
  </si>
  <si>
    <t>Natural Gas Liquids</t>
  </si>
  <si>
    <t>Petroleum coke</t>
  </si>
  <si>
    <t>Refinery feedstocks</t>
  </si>
  <si>
    <t>Refinery gas</t>
  </si>
  <si>
    <t>Paraffin waxes</t>
  </si>
  <si>
    <t>White Spirit/SBP</t>
  </si>
  <si>
    <t>Other petroleum products</t>
  </si>
  <si>
    <t>Gas coke</t>
  </si>
  <si>
    <t>Coal tar</t>
  </si>
  <si>
    <t>Gas works gas</t>
  </si>
  <si>
    <t>Coke oven gas</t>
  </si>
  <si>
    <t>Blast furnace gas</t>
  </si>
  <si>
    <t>Oxygen steel furnace gas</t>
  </si>
  <si>
    <t>Industrial wastes</t>
  </si>
  <si>
    <t>Waste oils</t>
  </si>
  <si>
    <t>Other primary solid biomass fuels</t>
  </si>
  <si>
    <t>Other liquid biofuels</t>
  </si>
  <si>
    <t>Sludge gas</t>
  </si>
  <si>
    <t>Other biogas</t>
  </si>
  <si>
    <t>Jet gasoline</t>
  </si>
  <si>
    <t>Municipal waste (Non biomass fraction)</t>
  </si>
  <si>
    <t>Municipal wastes (Biomass fraction)</t>
  </si>
  <si>
    <t>twenty</t>
  </si>
  <si>
    <t>Fuel unit code</t>
  </si>
  <si>
    <t>Table XX. States of each fuel</t>
  </si>
  <si>
    <t>solidUnits</t>
  </si>
  <si>
    <t>liquidUnits</t>
  </si>
  <si>
    <t>gasUnits</t>
  </si>
  <si>
    <t>List of solid fuels = 'solids'</t>
  </si>
  <si>
    <t>list of liquid fuels = 'liquid'</t>
  </si>
  <si>
    <t>list of gaseous fuels = 'gas'</t>
  </si>
  <si>
    <t>Table = unitCodes</t>
  </si>
  <si>
    <t>Table XX. Codes for the different fuel states</t>
  </si>
  <si>
    <t>Gas/diesel oil includes heavy gas oils. Gas oils are obtained from the lowest fraction from atmospheric distillation of crude oil, while heavy gas oils are obtained by vacuum redistillation of the residual from atmospheric distillation. Gas/diesel oil distils between 180ºC and 380ºC. Several grades are available depending on uses: diesel oil for diesel compression ignition (cars, trucks, marine, etc.), light heating oil for industrial and commercial uses, and other gas oil including heavy gas oils which distil between 380ºC and 540ºC and are used as petrochemical feedstocks.</t>
  </si>
  <si>
    <t>three</t>
  </si>
  <si>
    <t>four</t>
  </si>
  <si>
    <t>five</t>
  </si>
  <si>
    <t>six</t>
  </si>
  <si>
    <t>seven</t>
  </si>
  <si>
    <t>eight</t>
  </si>
  <si>
    <t>nine</t>
  </si>
  <si>
    <t>ten</t>
  </si>
  <si>
    <t>eleven</t>
  </si>
  <si>
    <t>twelve</t>
  </si>
  <si>
    <t>thirteen</t>
  </si>
  <si>
    <t>fourteen</t>
  </si>
  <si>
    <t>fiveteen</t>
  </si>
  <si>
    <t>sixteen</t>
  </si>
  <si>
    <t>seventeen</t>
  </si>
  <si>
    <t>eighteen</t>
  </si>
  <si>
    <t>nineteen</t>
  </si>
  <si>
    <t>twentyone</t>
  </si>
  <si>
    <t>twentytwo</t>
  </si>
  <si>
    <t>twentythree</t>
  </si>
  <si>
    <t>twentyfour</t>
  </si>
  <si>
    <t>twentyfive</t>
  </si>
  <si>
    <t>twentysix</t>
  </si>
  <si>
    <t>twentyseven</t>
  </si>
  <si>
    <t>twentyeight</t>
  </si>
  <si>
    <t>twentynine</t>
  </si>
  <si>
    <t>thirty</t>
  </si>
  <si>
    <t>thirtyone</t>
  </si>
  <si>
    <t>thirtytwo</t>
  </si>
  <si>
    <t>thirtythree</t>
  </si>
  <si>
    <t>thirtyfour</t>
  </si>
  <si>
    <t>thirtyfive</t>
  </si>
  <si>
    <t>thirtysix</t>
  </si>
  <si>
    <t>thirtyseven</t>
  </si>
  <si>
    <t>thirtyeight</t>
  </si>
  <si>
    <t>thirtynine</t>
  </si>
  <si>
    <t>forty</t>
  </si>
  <si>
    <t>fortyone</t>
  </si>
  <si>
    <t>fortytwo</t>
  </si>
  <si>
    <t>fortythree</t>
  </si>
  <si>
    <t>fortyfour</t>
  </si>
  <si>
    <t>fortyfive</t>
  </si>
  <si>
    <t>fortysix</t>
  </si>
  <si>
    <t>fortyseven</t>
  </si>
  <si>
    <t>fortyeight</t>
  </si>
  <si>
    <t>fortynine</t>
  </si>
  <si>
    <t>fifty</t>
  </si>
  <si>
    <t>one</t>
  </si>
  <si>
    <t>two</t>
  </si>
  <si>
    <t xml:space="preserve">Solid fossil </t>
  </si>
  <si>
    <t xml:space="preserve">Liquid fossil </t>
  </si>
  <si>
    <t xml:space="preserve">Gaseous fossil </t>
  </si>
  <si>
    <t xml:space="preserve">Biomass </t>
  </si>
  <si>
    <t>List = Biomass</t>
  </si>
  <si>
    <t>List = solidFossil</t>
  </si>
  <si>
    <t>List = liquidFossil</t>
  </si>
  <si>
    <t>List = gaseousFossil</t>
  </si>
  <si>
    <t>Solid fossil</t>
  </si>
  <si>
    <t>Liquid fossil</t>
  </si>
  <si>
    <t>Gaseous fossil</t>
  </si>
  <si>
    <t>solidFossil</t>
  </si>
  <si>
    <t>liquidFossil</t>
  </si>
  <si>
    <t>gaseousFossil</t>
  </si>
  <si>
    <t>Table = stateMap</t>
  </si>
  <si>
    <t>List = fourCategories</t>
  </si>
  <si>
    <t>Do not show</t>
  </si>
  <si>
    <t>Table = 'HVConversionValues'</t>
  </si>
  <si>
    <t xml:space="preserve">Final corrected CO2 emissions from use of fuel expressed in any volume basis </t>
  </si>
  <si>
    <t>EF (LHV basis)</t>
  </si>
  <si>
    <t>A tar-like substance that occurs naturally in Venezuela. It can be burned directly or refined into light petroleum products.</t>
  </si>
  <si>
    <t>Other liquid biofuels not included in biogasoline or biodiesels.</t>
  </si>
  <si>
    <t>Other biogas not included in landfill gas or sludge gas.</t>
  </si>
  <si>
    <t>NGLs are the liquid or liquefied hydrocarbons produced in the manufacture, purification and stabilisation of natural gas. These are those portions of natural gas which are recovered as liquids in separators, field facilities, or gas processing plants. NGLs include but are not limited to ethane, propane, butane, pentane, natural gasoline and condensate. They may also include small quantities of non-hydrocarbons.</t>
  </si>
  <si>
    <t>Tier3Manufacturing</t>
  </si>
  <si>
    <t>Key table</t>
  </si>
  <si>
    <t>Table = 'Tier3Manufacturing'</t>
  </si>
  <si>
    <t>industry&gt;fuel&gt;combustion technology</t>
  </si>
  <si>
    <t>Boiler, normal firing</t>
  </si>
  <si>
    <t>Boiler, tangential firing</t>
  </si>
  <si>
    <t>Large diesel oil engine &gt;6600hp (447 Kw)</t>
  </si>
  <si>
    <t>Pulversied combustion boiler (dry bottom, wall fired)</t>
  </si>
  <si>
    <t>Pulversied combustion boiler (dry bottom, tangentially fired)</t>
  </si>
  <si>
    <t>Pulversied combustion boiler (wet bottom)</t>
  </si>
  <si>
    <t>Spreader stoker boiler (With re-injection)</t>
  </si>
  <si>
    <t>Spreader stoker boiler (Without re-injection)</t>
  </si>
  <si>
    <t>Fluidised bed combustor (circulating bed)</t>
  </si>
  <si>
    <t>Cyclone furnace</t>
  </si>
  <si>
    <t>Atmospheric fluidised bed</t>
  </si>
  <si>
    <t>Boiler</t>
  </si>
  <si>
    <t>Gas-fired gas turbine &gt;3MW</t>
  </si>
  <si>
    <t>Large dual-fuel engine</t>
  </si>
  <si>
    <t>Combined cycle</t>
  </si>
  <si>
    <t>Fluidised bed combustor (bubbling bed)</t>
  </si>
  <si>
    <t>Wood recovery boiler</t>
  </si>
  <si>
    <t>CH4</t>
  </si>
  <si>
    <t>N2O</t>
  </si>
  <si>
    <t>Pulverised combustion boiler (dry bottom, wall fired)</t>
  </si>
  <si>
    <t>Pulverised combustion boiler (dry bottom, tangentially fired)</t>
  </si>
  <si>
    <t>Pulverised combustion boiler (wet bottom)</t>
  </si>
  <si>
    <t>Table = Tier3KeyTable</t>
  </si>
  <si>
    <t>Tier3ShaleOil</t>
  </si>
  <si>
    <t>Tier3ResidualFuelOil</t>
  </si>
  <si>
    <t>Tier3Gas/DieselOil</t>
  </si>
  <si>
    <t>Tier3CokingCoal</t>
  </si>
  <si>
    <t>Tier3OtherBituminousCoal</t>
  </si>
  <si>
    <t>Tier3Lignite</t>
  </si>
  <si>
    <t xml:space="preserve">Please select a GWP set: </t>
  </si>
  <si>
    <t></t>
  </si>
  <si>
    <t>List = GWPSets</t>
  </si>
  <si>
    <t>CO2</t>
  </si>
  <si>
    <t>Emission factors</t>
  </si>
  <si>
    <t>Units of emission factors</t>
  </si>
  <si>
    <t>List name = 'allFuels'</t>
  </si>
  <si>
    <t>Grams (g)</t>
  </si>
  <si>
    <t>Kilograms (kg)</t>
  </si>
  <si>
    <t>Metric tonnes (t)</t>
  </si>
  <si>
    <t>Pounds (lb)</t>
  </si>
  <si>
    <t>list = 'numerators'</t>
  </si>
  <si>
    <t>Denominators of custom EF</t>
  </si>
  <si>
    <t>Numerator of custom EF</t>
  </si>
  <si>
    <t>list = 'denominators'</t>
  </si>
  <si>
    <t>My fuels</t>
  </si>
  <si>
    <t>myFuels</t>
  </si>
  <si>
    <t>Tier3NaturalGas</t>
  </si>
  <si>
    <t>Tier3Peat</t>
  </si>
  <si>
    <t>Tier3Wood</t>
  </si>
  <si>
    <t>List = Tier3ShaleOil</t>
  </si>
  <si>
    <t xml:space="preserve">Amount </t>
  </si>
  <si>
    <t>Fuel category</t>
  </si>
  <si>
    <t>Name of Tier3keytable</t>
  </si>
  <si>
    <t>Name of appropriat dropdownlist</t>
  </si>
  <si>
    <t>Name of fuel and scetor specific drop down list</t>
  </si>
  <si>
    <t>Name of fuel and technology specific table that enables referencing of Efs</t>
  </si>
  <si>
    <t>ManufacturingShaleOil</t>
  </si>
  <si>
    <t>First 3 columns are a table called 'ManufacturingDrop'</t>
  </si>
  <si>
    <t>Name of EF table</t>
  </si>
  <si>
    <t>Other</t>
  </si>
  <si>
    <t>Don't know</t>
  </si>
  <si>
    <t>This includes all light hydrocarbon oils for use in aviation turbine power units. They distil between 100ºC and 250ºC. It is obtained by blending kerosenes and gasoline or naphthas in such a way that the aromatic content does not exceed 25 percent in volume, and the vapour pressure is between 13.7 kPa and 20.6 kPa. Additives can be included to improve fuel stability and combustibility.</t>
  </si>
  <si>
    <t>A refinery feedstock is a product or a combination of products derived from crude oil and destined for further processing other than blending in the refining industry. It is transformed into one or more components and/or finished products. This definition covers those finished products imported for refinery intake and those returned from the petrochemical industry to the refining industry.</t>
  </si>
  <si>
    <t>Refinery gas is defined as non-condensable gas obtained during distillation of crude oil or treatment of oil products (e.g. cracking) in refineries. It consists mainly of hydrogen, methane, ethane and olefins. It also includes gases which are returned from the petrochemical industry.</t>
  </si>
  <si>
    <t>White spirit and SBP are refined distillate intermediates with a distillation in the naphtha/kerosene range. They are sub-divided as: i) Industrial Spirit (SBP): Light oils distilling between 30ºC and 200ºC, with a temperature difference between 5 percent volume and 90 percent volume distillation points, including losses, of not more than 60ºC. In other words, SBP is a light oil of narrower cut than motor spirit. There are 7 or 8 grades of industrial spirit, depending on the position of the cut in the distillation range defined above. ii) White Spirit: Industrial spirit with a flash point above 30ºC. The distillation range of white spirit is 135ºC to 200ºC.</t>
  </si>
  <si>
    <t>Oil shale is an inorganic, non-porous rock containing various amounts of solid organic material that yields hydrocarbons, along with a variety of solid products, when subjected to pyrolysis (a treatment that consists of heating the rock at high temperature). Tar sands refers to sand (or porous carbonate rocks) that are naturally mixed with a viscous form of heavy crude oil sometimes referred to as bitumen. Due to its high viscosity this oil cannot be recovered through conventional recovery methods.</t>
  </si>
  <si>
    <t>Gas works gas covers all types of gases produced in public utility or private plants, whose main purpose is manufacture, transport and distribution of gas. It includes gas produced by carbonization (including gas produced by coke ovens and transferred to gas works gas), by total gasification with or without enrichment with oil products (LPG, residual fuel oil, etc.), and by reforming and simple mixing of gases and/or air. It excludes blended natural gas, which is usually distributed through the natural gas grid.</t>
  </si>
  <si>
    <t>Coke oven gas is obtained as a by-product of the manufacture of coke oven coke for the production of iron and steel.</t>
  </si>
  <si>
    <t>Revision History</t>
  </si>
  <si>
    <t>Version</t>
  </si>
  <si>
    <t>Revision Date</t>
  </si>
  <si>
    <t>Updated By</t>
  </si>
  <si>
    <t>Description</t>
  </si>
  <si>
    <t>GHG Protocol</t>
  </si>
  <si>
    <t>4.0</t>
  </si>
  <si>
    <t>4.1</t>
  </si>
  <si>
    <t>Initial release</t>
  </si>
  <si>
    <t>Added GWP values from IPCC's Fifth Assessment Report</t>
  </si>
  <si>
    <t>GHG Emissions</t>
  </si>
  <si>
    <t>Emissions from FOSSIL fuel combustion (irrespective of fuel state)</t>
  </si>
  <si>
    <t>Emissions from BIOMASS component (tonnes CO2)</t>
  </si>
  <si>
    <t>QC</t>
  </si>
  <si>
    <t>Table 1. Default CH4 emission factors by sector (2006 IPCC, Volume 2)</t>
  </si>
  <si>
    <t>Source:  2006 IPCC Guidelines for National Greenhouse Gas Inventories, Volume 2, Chapter 2, Tables 2.2 - 2.5</t>
  </si>
  <si>
    <t>Table 2. Energy</t>
  </si>
  <si>
    <t>Table 3. Manufacturing</t>
  </si>
  <si>
    <t>Table 4. Construction</t>
  </si>
  <si>
    <t>Table 5. Commercial</t>
  </si>
  <si>
    <t>Table 7. Residential</t>
  </si>
  <si>
    <t>Table 6. Institutional</t>
  </si>
  <si>
    <t>Table 8. Agriculture</t>
  </si>
  <si>
    <t>Table 9. Forestry</t>
  </si>
  <si>
    <t>Table 10. Fisheries</t>
  </si>
  <si>
    <t>Default LHV value from IPCC</t>
  </si>
  <si>
    <r>
      <rPr>
        <b/>
        <sz val="12"/>
        <rFont val="Arial"/>
        <family val="2"/>
      </rPr>
      <t>Note</t>
    </r>
    <r>
      <rPr>
        <sz val="12"/>
        <rFont val="Arial"/>
        <family val="2"/>
      </rPr>
      <t>: Density was converted from API Gravity Factor US EPA 1990-2021 Inventory, Table A-29: Carbon Content Coefficients and Underlying Data for Petroleum Products. API gravity is an arbitrary scale expressing the specific gravity (i.e., the ratio of the mass of a substance to the mass of an equal volume of water) of liquid petroleum products. Degrees API = (141.5 / specific gravity at 60 degrees F) – 131.5. For more information on API Gravity, see https://ghgprotocol.org/sites/default/files/2023-02/Stationary_Combustion_Guidance_final_1_0.pdf. For other Crude Oil API Gravity by Country, refer to Chapter 2 of the 2000 IPCC Good Practice Guidance: https://www.ipcc-nggip.iges.or.jp/public/gp/english/2_Energy.pdf</t>
    </r>
  </si>
  <si>
    <t>Source: http://www.ipcc-nggip.iges.or.jp/public/2006gl/pdf/2_Volume2/V2_1_Ch1_Introduction.pdf</t>
  </si>
  <si>
    <t>Sulphite lyes (Black liquor)</t>
  </si>
  <si>
    <t>Value</t>
  </si>
  <si>
    <t>Conversion factor (multiplication factor)</t>
  </si>
  <si>
    <t>Biomass? 
(1 = no; 2 = yes)</t>
  </si>
  <si>
    <t>Fuel Density</t>
  </si>
  <si>
    <t>Table 1. Table listing basis fuel data, including default CO2 EFs</t>
  </si>
  <si>
    <t>Table 3: Conversions needed to convert data for solids into emissions data</t>
  </si>
  <si>
    <t>Table 4a. Crude oil</t>
  </si>
  <si>
    <t>Table 4b. Motor gasoline</t>
  </si>
  <si>
    <t>Table 4c. Aviation gasoline</t>
  </si>
  <si>
    <t>Table 4d. Jet kerosene</t>
  </si>
  <si>
    <t>Table 4e. Other kerosene</t>
  </si>
  <si>
    <t>Table 4f. Shale oil</t>
  </si>
  <si>
    <t>Table 4g. Gas/diesel oil</t>
  </si>
  <si>
    <t>Table 4h. Residual fuel oil</t>
  </si>
  <si>
    <t>Table 4i. LPG</t>
  </si>
  <si>
    <t>Table 4k. Lubricants</t>
  </si>
  <si>
    <t>Table 5b. NG</t>
  </si>
  <si>
    <t>Table 5c. Landfill gas</t>
  </si>
  <si>
    <t>Table 6. The following tables show the unit list associated with each type of fuel based on their initial assumed state (e.g., solid, liquid). These are used in the selection menu in the Spreadsheet.</t>
  </si>
  <si>
    <t>Table 6. The following table shows codes for the different measurement units employed in the tool.</t>
  </si>
  <si>
    <t>Table 7. The following table show the emission factors expressed on a litter basis or gas basis. It has a direct refence to tables 4 and 5.</t>
  </si>
  <si>
    <t xml:space="preserve">  </t>
  </si>
  <si>
    <t>Table A. The base N2O emission factors supplied by IPCC, diferentiated by sector</t>
  </si>
  <si>
    <t>kg/m3 of fuel</t>
  </si>
  <si>
    <t>Density Unit</t>
  </si>
  <si>
    <t>Density Value</t>
  </si>
  <si>
    <t>kg/litre of fuel</t>
  </si>
  <si>
    <t>Default Fuels</t>
  </si>
  <si>
    <t>Reference: Default emission factors come from the 2006 IPCC Guidelines for National Greenhouse Gas Inventories, Volume 2, Chapter 2, Tables 2.2 - 2.5</t>
  </si>
  <si>
    <t>Default EFs for N2O (kg N2O/ TJ fuel) LHV/NCV basis</t>
  </si>
  <si>
    <t>Heat Content LHV (IPCC default)</t>
  </si>
  <si>
    <t>Final emission factor (assuming fuel consumption data has been measured in volumetric unit)</t>
  </si>
  <si>
    <t>energyGasEFsN2O</t>
  </si>
  <si>
    <t>manufacturingGasEFsN2O</t>
  </si>
  <si>
    <t>constructionGasEFsN2O</t>
  </si>
  <si>
    <t>commercialGasEFsN2O</t>
  </si>
  <si>
    <t>institutionalGasEFsN2O</t>
  </si>
  <si>
    <t>residentialGasEFsN2O</t>
  </si>
  <si>
    <t>agricultureGasEFsN2O</t>
  </si>
  <si>
    <t>forestryGasEFsN2O</t>
  </si>
  <si>
    <t>fisheriesGasEFsN2O</t>
  </si>
  <si>
    <t>Table 4j. Naphtha</t>
  </si>
  <si>
    <t>Table 4L. Biodiesels</t>
  </si>
  <si>
    <t>Table 4h. Biogasoline</t>
  </si>
  <si>
    <t>Table 4i. Ethane</t>
  </si>
  <si>
    <t>Table 4j. Jet gasoline</t>
  </si>
  <si>
    <t>Table 4k. Natural Gas Liquids</t>
  </si>
  <si>
    <t>Table 4L. Other liquid biofuels</t>
  </si>
  <si>
    <t>Table 4j. Refinery feedstocks</t>
  </si>
  <si>
    <t>Table 4k. Refinery gas</t>
  </si>
  <si>
    <t>Table 4h. Sulphite lyes (Black liquor)</t>
  </si>
  <si>
    <t>Table 4i. Waste oils</t>
  </si>
  <si>
    <t>Table 4j. White Spirit/SBP</t>
  </si>
  <si>
    <t>Table 5a. Gas works gas</t>
  </si>
  <si>
    <t>Table 5c. Blast furnace gas</t>
  </si>
  <si>
    <t>Table 5b. Coke oven gas</t>
  </si>
  <si>
    <t>Table 5b. Oxygen steel furnace gas</t>
  </si>
  <si>
    <t>Table 5c. Sludge gas</t>
  </si>
  <si>
    <t>Table 5c. Other biogas</t>
  </si>
  <si>
    <t>Table = "gasMeter3EFs"</t>
  </si>
  <si>
    <t>Table 4h. Oil shale and tar sands</t>
  </si>
  <si>
    <t>Table 4j. Orimulsion</t>
  </si>
  <si>
    <t>energyLiquidEFsN2O</t>
  </si>
  <si>
    <t>manufacturingLiquidEFsN2O</t>
  </si>
  <si>
    <t>constructionLiquidEFsN2O</t>
  </si>
  <si>
    <t>commercialLiquidEFsN2O</t>
  </si>
  <si>
    <t>institutionalLiquidEFsN2O</t>
  </si>
  <si>
    <t>residentialLiquidEFsN2O</t>
  </si>
  <si>
    <t>agricultureLiquidEFsN2O</t>
  </si>
  <si>
    <t>forestryLiquidEFsN2O</t>
  </si>
  <si>
    <t>fisheriesLiquidEFsN2O</t>
  </si>
  <si>
    <t>4.2</t>
  </si>
  <si>
    <r>
      <t>CO</t>
    </r>
    <r>
      <rPr>
        <b/>
        <vertAlign val="subscript"/>
        <sz val="12"/>
        <rFont val="Arial"/>
        <family val="2"/>
      </rPr>
      <t xml:space="preserve">2 </t>
    </r>
    <r>
      <rPr>
        <b/>
        <sz val="12"/>
        <rFont val="Arial"/>
        <family val="2"/>
      </rPr>
      <t xml:space="preserve">Calculator Spreadsheet </t>
    </r>
  </si>
  <si>
    <t>Note: The use of the latest GWP values is recommended.</t>
  </si>
  <si>
    <t>TOTAL EMISSIONS</t>
  </si>
  <si>
    <t>Conversion gactor to convert emissions data from kg CO2/Gg to unit basis selected by user</t>
  </si>
  <si>
    <t>Tables 2 and 3 contain conversion factors to be used in conjuction with the base EFs (and, in the case of mass units, LHV data)</t>
  </si>
  <si>
    <r>
      <t xml:space="preserve">Columns 2,3 and 4 of this table are together a range called </t>
    </r>
    <r>
      <rPr>
        <b/>
        <sz val="10"/>
        <rFont val="Arial"/>
        <family val="2"/>
      </rPr>
      <t>solidEFs</t>
    </r>
  </si>
  <si>
    <r>
      <t xml:space="preserve">Columns 2,3 and 4 of this table are together a range called </t>
    </r>
    <r>
      <rPr>
        <b/>
        <sz val="10"/>
        <rFont val="Arial"/>
        <family val="2"/>
      </rPr>
      <t>energyEFs</t>
    </r>
  </si>
  <si>
    <r>
      <t>Table 4. The following sub-tables show the derivation of CO</t>
    </r>
    <r>
      <rPr>
        <b/>
        <vertAlign val="subscript"/>
        <sz val="10"/>
        <color theme="0"/>
        <rFont val="Arial"/>
        <family val="2"/>
      </rPr>
      <t xml:space="preserve">2 </t>
    </r>
    <r>
      <rPr>
        <b/>
        <sz val="10"/>
        <color theme="0"/>
        <rFont val="Arial"/>
        <family val="2"/>
      </rPr>
      <t>emission factors for specific liquid fuels that have been expressed on a liquid basis. These are not conversion factors. They are actual EFs that are both unit and fuel specific.</t>
    </r>
  </si>
  <si>
    <r>
      <t>Table 5. The following tables show the derivation of CO</t>
    </r>
    <r>
      <rPr>
        <b/>
        <vertAlign val="subscript"/>
        <sz val="10"/>
        <color theme="0"/>
        <rFont val="Arial"/>
        <family val="2"/>
      </rPr>
      <t>2</t>
    </r>
    <r>
      <rPr>
        <b/>
        <sz val="10"/>
        <color theme="0"/>
        <rFont val="Arial"/>
        <family val="2"/>
      </rPr>
      <t xml:space="preserve"> emission factors for specific gaseous fuels that have been expressed on a gas basis. They are actual EFs that are both unit and fuel specific.</t>
    </r>
  </si>
  <si>
    <t>For custom Efs supplied on a the following basis:</t>
  </si>
  <si>
    <r>
      <t>Table 7a. Liquid fuel emission factors expressed on a liter basis (tonnes CO</t>
    </r>
    <r>
      <rPr>
        <b/>
        <vertAlign val="subscript"/>
        <sz val="10"/>
        <rFont val="Arial"/>
        <family val="2"/>
      </rPr>
      <t>2</t>
    </r>
    <r>
      <rPr>
        <b/>
        <sz val="10"/>
        <rFont val="Arial"/>
        <family val="2"/>
      </rPr>
      <t>/liter of fuel)</t>
    </r>
  </si>
  <si>
    <r>
      <t>Emission factor (tonnes CO</t>
    </r>
    <r>
      <rPr>
        <b/>
        <vertAlign val="subscript"/>
        <sz val="10"/>
        <rFont val="Arial"/>
        <family val="2"/>
      </rPr>
      <t>2</t>
    </r>
    <r>
      <rPr>
        <b/>
        <sz val="10"/>
        <rFont val="Arial"/>
        <family val="2"/>
      </rPr>
      <t>/liter of fuel)</t>
    </r>
  </si>
  <si>
    <r>
      <t>Table 7b. Gaseous fuel emission factors expressed on a m</t>
    </r>
    <r>
      <rPr>
        <b/>
        <vertAlign val="superscript"/>
        <sz val="10"/>
        <rFont val="Arial"/>
        <family val="2"/>
      </rPr>
      <t>3</t>
    </r>
    <r>
      <rPr>
        <b/>
        <sz val="10"/>
        <rFont val="Arial"/>
        <family val="2"/>
      </rPr>
      <t xml:space="preserve"> basis (tonnes CO2/m</t>
    </r>
    <r>
      <rPr>
        <b/>
        <vertAlign val="superscript"/>
        <sz val="10"/>
        <rFont val="Arial"/>
        <family val="2"/>
      </rPr>
      <t>3</t>
    </r>
    <r>
      <rPr>
        <b/>
        <sz val="10"/>
        <rFont val="Arial"/>
        <family val="2"/>
      </rPr>
      <t xml:space="preserve"> of fuel)</t>
    </r>
  </si>
  <si>
    <r>
      <t xml:space="preserve"> CH</t>
    </r>
    <r>
      <rPr>
        <b/>
        <vertAlign val="subscript"/>
        <sz val="12"/>
        <rFont val="Arial"/>
        <family val="2"/>
      </rPr>
      <t>4</t>
    </r>
    <r>
      <rPr>
        <b/>
        <sz val="12"/>
        <rFont val="Arial"/>
        <family val="2"/>
      </rPr>
      <t xml:space="preserve"> Calculator Spreadsheet </t>
    </r>
  </si>
  <si>
    <t>Fuel Name</t>
  </si>
  <si>
    <t>Quantity consumed</t>
  </si>
  <si>
    <t>User-specified data</t>
  </si>
  <si>
    <t>Fuel unit code (for LHV-HHV conversion)</t>
  </si>
  <si>
    <t>Correction factor to convert to tonnes CO2 (Taken from Table 2 @CO2 EFs)</t>
  </si>
  <si>
    <r>
      <t>CO</t>
    </r>
    <r>
      <rPr>
        <vertAlign val="subscript"/>
        <sz val="10"/>
        <color theme="0"/>
        <rFont val="Arial"/>
        <family val="2"/>
      </rPr>
      <t>2</t>
    </r>
    <r>
      <rPr>
        <sz val="10"/>
        <color theme="0"/>
        <rFont val="Arial"/>
        <family val="2"/>
      </rPr>
      <t xml:space="preserve"> emissions (tonnes)</t>
    </r>
  </si>
  <si>
    <r>
      <t xml:space="preserve">For fuels expressed on an </t>
    </r>
    <r>
      <rPr>
        <b/>
        <u/>
        <sz val="10"/>
        <color theme="0"/>
        <rFont val="Arial"/>
        <family val="2"/>
      </rPr>
      <t>energy basis</t>
    </r>
    <r>
      <rPr>
        <b/>
        <sz val="10"/>
        <color theme="0"/>
        <rFont val="Arial"/>
        <family val="2"/>
      </rPr>
      <t xml:space="preserve"> (code = 0)</t>
    </r>
  </si>
  <si>
    <r>
      <t xml:space="preserve">For fuels expressed on a </t>
    </r>
    <r>
      <rPr>
        <b/>
        <u/>
        <sz val="10"/>
        <color theme="0"/>
        <rFont val="Arial"/>
        <family val="2"/>
      </rPr>
      <t>mass basis</t>
    </r>
    <r>
      <rPr>
        <b/>
        <sz val="10"/>
        <color theme="0"/>
        <rFont val="Arial"/>
        <family val="2"/>
      </rPr>
      <t xml:space="preserve"> (code = 1)</t>
    </r>
  </si>
  <si>
    <r>
      <t xml:space="preserve">For fuels expressed on a </t>
    </r>
    <r>
      <rPr>
        <b/>
        <u/>
        <sz val="10"/>
        <color theme="0"/>
        <rFont val="Arial"/>
        <family val="2"/>
      </rPr>
      <t>liquid basis</t>
    </r>
    <r>
      <rPr>
        <b/>
        <sz val="10"/>
        <color theme="0"/>
        <rFont val="Arial"/>
        <family val="2"/>
      </rPr>
      <t xml:space="preserve"> (code = 2)</t>
    </r>
  </si>
  <si>
    <r>
      <t xml:space="preserve">For fuels expressed on a </t>
    </r>
    <r>
      <rPr>
        <b/>
        <u/>
        <sz val="10"/>
        <color theme="0"/>
        <rFont val="Arial"/>
        <family val="2"/>
      </rPr>
      <t>gas basis</t>
    </r>
    <r>
      <rPr>
        <b/>
        <sz val="10"/>
        <color theme="0"/>
        <rFont val="Arial"/>
        <family val="2"/>
      </rPr>
      <t xml:space="preserve"> (code = 3)</t>
    </r>
  </si>
  <si>
    <r>
      <t xml:space="preserve">Calculations based on use of </t>
    </r>
    <r>
      <rPr>
        <b/>
        <u/>
        <sz val="10"/>
        <color theme="0"/>
        <rFont val="Arial"/>
        <family val="2"/>
      </rPr>
      <t>custom Efs</t>
    </r>
  </si>
  <si>
    <r>
      <t>CH</t>
    </r>
    <r>
      <rPr>
        <vertAlign val="subscript"/>
        <sz val="10"/>
        <color theme="0"/>
        <rFont val="Arial"/>
        <family val="2"/>
      </rPr>
      <t>4</t>
    </r>
    <r>
      <rPr>
        <sz val="10"/>
        <color theme="0"/>
        <rFont val="Arial"/>
        <family val="2"/>
      </rPr>
      <t xml:space="preserve"> emissions assuming a liter basis</t>
    </r>
  </si>
  <si>
    <t>CH4 emissions corrected for use of different unit bases (gallons)</t>
  </si>
  <si>
    <t>CH4 emissions corrected for use of different unit bases (barrels)</t>
  </si>
  <si>
    <t>Final corrected CH4 emissions from use of fuel expressed in any volume basis</t>
  </si>
  <si>
    <t>Correction factor to convert to tonnes N2O (Taken from Table 2 @CO2 EFs)</t>
  </si>
  <si>
    <t>Correction factor to convert to tonnes CH4 (Taken from Table 2 @CO2 EFs)</t>
  </si>
  <si>
    <t>N2O emissions subtotalled by fuel state (metric tonnes):</t>
  </si>
  <si>
    <t xml:space="preserve">Total CH4 emissions (metric tonnes): </t>
  </si>
  <si>
    <t xml:space="preserve">Total CH4 emissions (metric tonnes CO2e): </t>
  </si>
  <si>
    <r>
      <t>Total N2O emissions (metric tonnes CO</t>
    </r>
    <r>
      <rPr>
        <vertAlign val="subscript"/>
        <sz val="10"/>
        <rFont val="Arial"/>
        <family val="2"/>
      </rPr>
      <t>2</t>
    </r>
    <r>
      <rPr>
        <sz val="10"/>
        <rFont val="Arial"/>
        <family val="2"/>
      </rPr>
      <t xml:space="preserve">e): </t>
    </r>
  </si>
  <si>
    <t xml:space="preserve">N2O Calculator Spreadsheet </t>
  </si>
  <si>
    <r>
      <t>Default EFs for CH</t>
    </r>
    <r>
      <rPr>
        <b/>
        <vertAlign val="subscript"/>
        <sz val="12"/>
        <rFont val="Arial"/>
        <family val="2"/>
      </rPr>
      <t>4</t>
    </r>
    <r>
      <rPr>
        <b/>
        <sz val="12"/>
        <rFont val="Arial"/>
        <family val="2"/>
      </rPr>
      <t xml:space="preserve"> (kg CH</t>
    </r>
    <r>
      <rPr>
        <b/>
        <vertAlign val="subscript"/>
        <sz val="12"/>
        <rFont val="Arial"/>
        <family val="2"/>
      </rPr>
      <t>4</t>
    </r>
    <r>
      <rPr>
        <b/>
        <sz val="12"/>
        <rFont val="Arial"/>
        <family val="2"/>
      </rPr>
      <t>/ TJ fuel). LHV/NCV basis</t>
    </r>
  </si>
  <si>
    <t>2007 IPCC Fourth Assesment Report (AR4)</t>
  </si>
  <si>
    <t>2014 IPCC Fifth Assesment Report (AR5)</t>
  </si>
  <si>
    <t>2021 IPCC Sixth Assessment Report (AR6)</t>
  </si>
  <si>
    <t>mass</t>
  </si>
  <si>
    <t>volumne</t>
  </si>
  <si>
    <t>energy</t>
  </si>
  <si>
    <t>Group</t>
  </si>
  <si>
    <t>GHG Protocol &amp; Greenhouse Gas Management Institute</t>
  </si>
  <si>
    <t>Table xx. Table of sector types</t>
  </si>
  <si>
    <t>Fuel type 
(e.g., solid fossil)</t>
  </si>
  <si>
    <t>Unit of Measurement                     (e.g., kg or kWh)</t>
  </si>
  <si>
    <t>Default from IPCC adjusted for LHV vs HHV choice (TJ/Gg)
 (i.e. the default IPCC value in LHV is multiplied by value in column f)</t>
  </si>
  <si>
    <t>Default from IPCC adjusted for LHV vs HHV choice (TJ/Gg)
(i.e. the default IPCC value in LHV is multiplied by value in column f)</t>
  </si>
  <si>
    <t>Default from IPCC adjusted for LHV vs HHV choice (TJ/Gg)
(i.e., the default IPCC value in LHV is multiplied by value in column F)</t>
  </si>
  <si>
    <t>Applied Emission Factor</t>
  </si>
  <si>
    <r>
      <rPr>
        <vertAlign val="superscript"/>
        <sz val="10"/>
        <color theme="3" tint="-0.249977111117893"/>
        <rFont val="Arial"/>
        <family val="2"/>
      </rPr>
      <t>1</t>
    </r>
    <r>
      <rPr>
        <sz val="10"/>
        <color theme="3" tint="-0.249977111117893"/>
        <rFont val="Arial"/>
        <family val="2"/>
      </rPr>
      <t xml:space="preserve"> Density was converted from API Gravity Factor US EPA 1990-2021 Inventory, Table A-29: Carbon Content Coefficients and Underlying Data for Petroleum Products. API gravity is an arbitrary scale expressing the specific gravity (i.e., the ratio of the mass of a substance to the mass of an equal volume of water) of liquid petroleum products. Degrees API = (141.5 / specific gravity at 60 degrees F) – 131.5. For more information on API Gravity, see https://ghgprotocol.org/sites/default/files/2023-02/Stationary_Combustion_Guidance_final_1_0.pdf. For other Crude Oil API Gravity by Country, refer to Chapter 2 of the 2000 IPCC Good Practice Guidance: https://www.ipcc-nggip.iges.or.jp/public/gp/english/2_Energy.pdf</t>
    </r>
  </si>
  <si>
    <t>Select IPCC Global Warming Potentials (GWPs)</t>
  </si>
  <si>
    <t>(See Footnote 1)</t>
  </si>
  <si>
    <t>Enter custom emission factors</t>
  </si>
  <si>
    <t>Numerator
(e.g., kg GHG)</t>
  </si>
  <si>
    <r>
      <t>CO</t>
    </r>
    <r>
      <rPr>
        <b/>
        <vertAlign val="subscript"/>
        <sz val="10"/>
        <rFont val="Arial"/>
        <family val="2"/>
      </rPr>
      <t>2</t>
    </r>
    <r>
      <rPr>
        <b/>
        <sz val="10"/>
        <rFont val="Arial"/>
        <family val="2"/>
      </rPr>
      <t xml:space="preserve"> Emission Factors</t>
    </r>
  </si>
  <si>
    <r>
      <t>CH</t>
    </r>
    <r>
      <rPr>
        <b/>
        <vertAlign val="subscript"/>
        <sz val="10"/>
        <rFont val="Arial"/>
        <family val="2"/>
      </rPr>
      <t>4</t>
    </r>
    <r>
      <rPr>
        <b/>
        <sz val="10"/>
        <rFont val="Arial"/>
        <family val="2"/>
      </rPr>
      <t xml:space="preserve"> Emission Factors </t>
    </r>
  </si>
  <si>
    <r>
      <t>N</t>
    </r>
    <r>
      <rPr>
        <b/>
        <vertAlign val="subscript"/>
        <sz val="10"/>
        <rFont val="Arial"/>
        <family val="2"/>
      </rPr>
      <t>2</t>
    </r>
    <r>
      <rPr>
        <b/>
        <sz val="10"/>
        <rFont val="Arial"/>
        <family val="2"/>
      </rPr>
      <t xml:space="preserve">O Emission Factors </t>
    </r>
  </si>
  <si>
    <r>
      <t>Fossil CO</t>
    </r>
    <r>
      <rPr>
        <b/>
        <vertAlign val="subscript"/>
        <sz val="12"/>
        <color theme="0"/>
        <rFont val="Arial"/>
        <family val="2"/>
      </rPr>
      <t>2</t>
    </r>
    <r>
      <rPr>
        <b/>
        <sz val="12"/>
        <color theme="0"/>
        <rFont val="Arial"/>
        <family val="2"/>
      </rPr>
      <t xml:space="preserve">
(metric tonnes)</t>
    </r>
  </si>
  <si>
    <r>
      <t>CH</t>
    </r>
    <r>
      <rPr>
        <b/>
        <vertAlign val="subscript"/>
        <sz val="12"/>
        <color theme="0"/>
        <rFont val="Arial"/>
        <family val="2"/>
      </rPr>
      <t>4</t>
    </r>
    <r>
      <rPr>
        <b/>
        <sz val="12"/>
        <color theme="0"/>
        <rFont val="Arial"/>
        <family val="2"/>
      </rPr>
      <t xml:space="preserve">
(metric tonnes)</t>
    </r>
  </si>
  <si>
    <r>
      <t>N</t>
    </r>
    <r>
      <rPr>
        <b/>
        <vertAlign val="subscript"/>
        <sz val="12"/>
        <color theme="0"/>
        <rFont val="Arial"/>
        <family val="2"/>
      </rPr>
      <t>2</t>
    </r>
    <r>
      <rPr>
        <b/>
        <sz val="12"/>
        <color theme="0"/>
        <rFont val="Arial"/>
        <family val="2"/>
      </rPr>
      <t>O
(metric tonnes)</t>
    </r>
  </si>
  <si>
    <r>
      <t>Total Anthropogenic GHG Emissions
(metric tonnes CO</t>
    </r>
    <r>
      <rPr>
        <b/>
        <vertAlign val="subscript"/>
        <sz val="12"/>
        <color theme="0"/>
        <rFont val="Arial"/>
        <family val="2"/>
      </rPr>
      <t>2</t>
    </r>
    <r>
      <rPr>
        <b/>
        <sz val="12"/>
        <color theme="0"/>
        <rFont val="Arial"/>
        <family val="2"/>
      </rPr>
      <t>e)</t>
    </r>
  </si>
  <si>
    <r>
      <t>Biomass CO</t>
    </r>
    <r>
      <rPr>
        <b/>
        <vertAlign val="subscript"/>
        <sz val="12"/>
        <color theme="0"/>
        <rFont val="Arial"/>
        <family val="2"/>
      </rPr>
      <t>2</t>
    </r>
    <r>
      <rPr>
        <b/>
        <sz val="12"/>
        <color theme="0"/>
        <rFont val="Arial"/>
        <family val="2"/>
      </rPr>
      <t xml:space="preserve"> Emissions
(metric tonnes CO</t>
    </r>
    <r>
      <rPr>
        <b/>
        <vertAlign val="subscript"/>
        <sz val="12"/>
        <color theme="0"/>
        <rFont val="Arial"/>
        <family val="2"/>
      </rPr>
      <t>2</t>
    </r>
    <r>
      <rPr>
        <b/>
        <sz val="12"/>
        <color theme="0"/>
        <rFont val="Arial"/>
        <family val="2"/>
      </rPr>
      <t>)</t>
    </r>
  </si>
  <si>
    <r>
      <t>Total anthropogenic GHG emissions (tonnes CO</t>
    </r>
    <r>
      <rPr>
        <vertAlign val="subscript"/>
        <sz val="16"/>
        <color theme="0"/>
        <rFont val="Arial"/>
        <family val="2"/>
      </rPr>
      <t>2</t>
    </r>
    <r>
      <rPr>
        <sz val="16"/>
        <color theme="0"/>
        <rFont val="Arial"/>
        <family val="2"/>
      </rPr>
      <t>e):</t>
    </r>
  </si>
  <si>
    <r>
      <t>Total CO</t>
    </r>
    <r>
      <rPr>
        <vertAlign val="subscript"/>
        <sz val="16"/>
        <color theme="0"/>
        <rFont val="Arial"/>
        <family val="2"/>
      </rPr>
      <t>2</t>
    </r>
    <r>
      <rPr>
        <sz val="16"/>
        <color theme="0"/>
        <rFont val="Arial"/>
        <family val="2"/>
      </rPr>
      <t xml:space="preserve"> emissions from biomass (tonnes CO</t>
    </r>
    <r>
      <rPr>
        <vertAlign val="subscript"/>
        <sz val="16"/>
        <color theme="0"/>
        <rFont val="Arial"/>
        <family val="2"/>
      </rPr>
      <t>2</t>
    </r>
    <r>
      <rPr>
        <sz val="16"/>
        <color theme="0"/>
        <rFont val="Arial"/>
        <family val="2"/>
      </rPr>
      <t>):</t>
    </r>
  </si>
  <si>
    <r>
      <t>CO</t>
    </r>
    <r>
      <rPr>
        <vertAlign val="subscript"/>
        <sz val="14"/>
        <color theme="0"/>
        <rFont val="Arial"/>
        <family val="2"/>
      </rPr>
      <t>2</t>
    </r>
  </si>
  <si>
    <r>
      <t>CH</t>
    </r>
    <r>
      <rPr>
        <vertAlign val="subscript"/>
        <sz val="14"/>
        <color theme="0"/>
        <rFont val="Arial"/>
        <family val="2"/>
      </rPr>
      <t>4</t>
    </r>
  </si>
  <si>
    <r>
      <t>N</t>
    </r>
    <r>
      <rPr>
        <vertAlign val="subscript"/>
        <sz val="14"/>
        <color theme="0"/>
        <rFont val="Arial"/>
        <family val="2"/>
      </rPr>
      <t>2</t>
    </r>
    <r>
      <rPr>
        <sz val="14"/>
        <color theme="0"/>
        <rFont val="Arial"/>
        <family val="2"/>
      </rPr>
      <t>O</t>
    </r>
  </si>
  <si>
    <t>Heating value basis 
(Higher or Lower)</t>
  </si>
  <si>
    <t>Gaseous Fuels</t>
  </si>
  <si>
    <t>Denominator conversion factor</t>
  </si>
  <si>
    <r>
      <t>GWPs compare the climate impact of different greenhouse gases with that of CO</t>
    </r>
    <r>
      <rPr>
        <vertAlign val="subscript"/>
        <sz val="12"/>
        <rFont val="Arial"/>
        <family val="2"/>
      </rPr>
      <t>2</t>
    </r>
    <r>
      <rPr>
        <sz val="12"/>
        <rFont val="Arial"/>
        <family val="2"/>
      </rPr>
      <t>, and they are used to calculate emissions in terms of CO</t>
    </r>
    <r>
      <rPr>
        <vertAlign val="subscript"/>
        <sz val="12"/>
        <rFont val="Arial"/>
        <family val="2"/>
      </rPr>
      <t>2</t>
    </r>
    <r>
      <rPr>
        <sz val="12"/>
        <rFont val="Arial"/>
        <family val="2"/>
      </rPr>
      <t>-equivalents. As scientific understanding advances, the GWP values of GHGs can change. By default, this tool uses the GWP values from the IPCC's Sixth Assessment Report (2021), but you can use other GWP sets:</t>
    </r>
  </si>
  <si>
    <t>Total Fuel Consumption</t>
  </si>
  <si>
    <t>Emission Factors</t>
  </si>
  <si>
    <t>Conversions Applied to Activity Data</t>
  </si>
  <si>
    <t>Fuel Heat Content on Selected Heating Basis
(TJ/Gg)</t>
  </si>
  <si>
    <t>Calculation Tools Disclaimer</t>
  </si>
  <si>
    <t>Liquid Fuels</t>
  </si>
  <si>
    <t>Fuel Density Information</t>
  </si>
  <si>
    <r>
      <t>(</t>
    </r>
    <r>
      <rPr>
        <i/>
        <sz val="10"/>
        <rFont val="Arial"/>
        <family val="2"/>
      </rPr>
      <t>Reference</t>
    </r>
    <r>
      <rPr>
        <sz val="10"/>
        <rFont val="Arial"/>
        <family val="2"/>
      </rPr>
      <t>: IPCC 2006 Guidelines for National Greenhouse Gas Inventories)</t>
    </r>
  </si>
  <si>
    <t>Enter Custom Fuel Density (as needed)</t>
  </si>
  <si>
    <t>Reference</t>
  </si>
  <si>
    <r>
      <t xml:space="preserve">This tool uses default emission factors from the 2006 IPCC Guidelines for National Greenhouse Gas Inventories. If you want to use your own emission factors, please enter them below. Your emission factors can be accessed in the </t>
    </r>
    <r>
      <rPr>
        <b/>
        <sz val="12"/>
        <color rgb="FF00ACA2"/>
        <rFont val="Arial"/>
        <family val="2"/>
      </rPr>
      <t>calculator</t>
    </r>
    <r>
      <rPr>
        <sz val="12"/>
        <rFont val="Arial"/>
        <family val="2"/>
      </rPr>
      <t xml:space="preserve"> by selecting the '</t>
    </r>
    <r>
      <rPr>
        <u/>
        <sz val="12"/>
        <rFont val="Arial"/>
        <family val="2"/>
      </rPr>
      <t>My fuels</t>
    </r>
    <r>
      <rPr>
        <sz val="12"/>
        <rFont val="Arial"/>
        <family val="2"/>
      </rPr>
      <t>' category. Note heating value (i.e., HHV or LHV) is also referred to as calorific value (gross calorific value (GCV) or net calorific value (NCV)).</t>
    </r>
  </si>
  <si>
    <r>
      <t xml:space="preserve">This tool contains default emission factors that are applicable to fuel consumption activity data on either an energy or mass basis. If your fuel activity data is available on a volume basis, you must enter fuel density value and unit below for the default fuels available in this tool. Default fuel densities have been added for some fuels. Users should the reference of the fuel density in the Reference column. Fuel density it must be in </t>
    </r>
    <r>
      <rPr>
        <u/>
        <sz val="12"/>
        <rFont val="Arial"/>
        <family val="2"/>
      </rPr>
      <t>kg/litre of fuel</t>
    </r>
    <r>
      <rPr>
        <sz val="12"/>
        <rFont val="Arial"/>
        <family val="2"/>
      </rPr>
      <t xml:space="preserve"> for use in this tool.</t>
    </r>
  </si>
  <si>
    <t>Error encountered</t>
  </si>
  <si>
    <r>
      <t>Biogenic CO</t>
    </r>
    <r>
      <rPr>
        <b/>
        <vertAlign val="subscript"/>
        <sz val="10"/>
        <rFont val="Arial"/>
        <family val="2"/>
      </rPr>
      <t>2</t>
    </r>
    <r>
      <rPr>
        <b/>
        <sz val="10"/>
        <rFont val="Arial"/>
        <family val="2"/>
      </rPr>
      <t xml:space="preserve"> Emission Factors </t>
    </r>
  </si>
  <si>
    <t xml:space="preserve">Added GWP values from IPCC's Sixth Assessment Report. Added functionality to enter fuel density. Added functionality to display emission factors applied in calculations. Fixed error in calculator that caused CO2 from biomass to be summed together under total emissions from GHGs. </t>
  </si>
  <si>
    <t>These spreadsheets and associated materials have been prepared with a high degree of expertise and professionalism, and it is believed that they provide a useful and accurate approach for calculating greenhouse gas emissions. However, the organizations involved in their development collectively and individually, do not warrant these spreadsheets for any purpose, nor do they make any representations regarding their fitness for any use or purpose whatsoever.
Each user agrees to decide if, when, and how to use these spreadsheets and does so at his or her sole risk. When using the tools provided on the GHG Protocol website, you agree that you are not entitled to rely on any information generated using these worksheets. You further agree to hold WRI, WBCSD, and any of their partners in the creation of the tools, harmless for loss you might suffer arising out of: any inaccuracies in numbers generated by the worksheets or variation between predictions and your actual results. Under no circumstances shall WRI, WBCSD, or any of their partners that helped create the tools, be liable for any damages, including incidental, special or consequential damages, arising from the use of these spreadsheets or an inability to use them.
If you distribute these tools through any means other than the GHG Protocol website at www.ghgprotocol.org, you should check the website to ensure the tool being provided is the latest version available, and provide information to users on how to check for updates and revisions to the tools.</t>
  </si>
  <si>
    <r>
      <rPr>
        <sz val="11"/>
        <rFont val="Arial"/>
        <family val="2"/>
      </rPr>
      <t xml:space="preserve">For any inquiries, please contact the Greenhouse Gas Protocol </t>
    </r>
    <r>
      <rPr>
        <u/>
        <sz val="11"/>
        <color theme="10"/>
        <rFont val="Arial"/>
        <family val="2"/>
      </rPr>
      <t>Technical Support Form</t>
    </r>
  </si>
  <si>
    <t>This tool implements emission factors specific to many different types of fuels and sectors. To help you understand which emission factors most closely meet your needs, browse our definitions for our fuels and sectors:</t>
  </si>
  <si>
    <t>GHG Protocol Guide to Definitions</t>
  </si>
  <si>
    <r>
      <rPr>
        <b/>
        <sz val="11"/>
        <rFont val="Arial"/>
        <family val="2"/>
      </rPr>
      <t>Calculating GHG Emissions from Stationary Combustion</t>
    </r>
    <r>
      <rPr>
        <sz val="11"/>
        <rFont val="Arial"/>
        <family val="2"/>
      </rPr>
      <t xml:space="preserve">
Version 4.2, August 2024
This tool was last modified in August 2024 with the support of the Greenhouse Gas Management Institute (www.ghginstitute.org).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</si>
</sst>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4" formatCode="_(&quot;$&quot;* #,##0.00_);_(&quot;$&quot;* \(#,##0.00\);_(&quot;$&quot;* &quot;-&quot;??_);_(@_)"/>
    <numFmt numFmtId="43" formatCode="_(* #,##0.00_);_(* \(#,##0.00\);_(* &quot;-&quot;??_);_(@_)"/>
    <numFmt numFmtId="164" formatCode="0.000"/>
    <numFmt numFmtId="165" formatCode="#,##0.0000"/>
    <numFmt numFmtId="166" formatCode="_(* #,##0.0_);_(* \(#,##0.0\);_(* &quot;-&quot;??_);_(@_)"/>
    <numFmt numFmtId="167" formatCode="###0.00_)"/>
    <numFmt numFmtId="168" formatCode="0.0_W"/>
    <numFmt numFmtId="169" formatCode="#,##0_)"/>
    <numFmt numFmtId="170" formatCode="[$-409]mmmm\ d\,\ yyyy;@"/>
    <numFmt numFmtId="171" formatCode="_(* #,##0.000_);_(* \(#,##0.000\);_(* &quot;-&quot;??_);_(@_)"/>
    <numFmt numFmtId="172" formatCode="_(* #,##0.0000_);_(* \(#,##0.0000\);_(* &quot;-&quot;??_);_(@_)"/>
    <numFmt numFmtId="173" formatCode="0.0000"/>
    <numFmt numFmtId="174" formatCode="0.00000"/>
    <numFmt numFmtId="175" formatCode="0.000000000"/>
  </numFmts>
  <fonts count="89" x14ac:knownFonts="1">
    <font>
      <sz val="10"/>
      <name val="Arial"/>
    </font>
    <font>
      <sz val="10"/>
      <name val="Arial"/>
      <family val="2"/>
    </font>
    <font>
      <u/>
      <sz val="7.5"/>
      <color indexed="12"/>
      <name val="Arial"/>
      <family val="2"/>
    </font>
    <font>
      <sz val="8"/>
      <name val="Arial"/>
      <family val="2"/>
    </font>
    <font>
      <sz val="10"/>
      <color indexed="10"/>
      <name val="Arial"/>
      <family val="2"/>
    </font>
    <font>
      <sz val="9"/>
      <name val="Times New Roman"/>
      <family val="1"/>
    </font>
    <font>
      <b/>
      <sz val="9"/>
      <name val="Times New Roman"/>
      <family val="1"/>
    </font>
    <font>
      <sz val="12"/>
      <name val="Helv"/>
    </font>
    <font>
      <b/>
      <sz val="12"/>
      <name val="Helv"/>
    </font>
    <font>
      <sz val="9"/>
      <name val="Helv"/>
    </font>
    <font>
      <vertAlign val="superscript"/>
      <sz val="12"/>
      <name val="Helv"/>
    </font>
    <font>
      <sz val="10"/>
      <name val="Helv"/>
    </font>
    <font>
      <b/>
      <sz val="18"/>
      <name val="Arial"/>
      <family val="2"/>
    </font>
    <font>
      <b/>
      <sz val="12"/>
      <name val="Arial"/>
      <family val="2"/>
    </font>
    <font>
      <b/>
      <sz val="12"/>
      <name val="Times New Roman"/>
      <family val="1"/>
    </font>
    <font>
      <b/>
      <sz val="9"/>
      <name val="Helv"/>
    </font>
    <font>
      <sz val="8.5"/>
      <name val="Helv"/>
    </font>
    <font>
      <b/>
      <sz val="10"/>
      <name val="Helv"/>
    </font>
    <font>
      <sz val="1"/>
      <name val="Arial"/>
      <family val="2"/>
    </font>
    <font>
      <sz val="8"/>
      <name val="Helv"/>
      <family val="2"/>
    </font>
    <font>
      <b/>
      <sz val="14"/>
      <name val="Helv"/>
    </font>
    <font>
      <b/>
      <sz val="10"/>
      <name val="Arial"/>
      <family val="2"/>
    </font>
    <font>
      <sz val="8"/>
      <color indexed="81"/>
      <name val="Tahoma"/>
      <family val="2"/>
    </font>
    <font>
      <b/>
      <sz val="8"/>
      <color indexed="81"/>
      <name val="Tahoma"/>
      <family val="2"/>
    </font>
    <font>
      <b/>
      <sz val="10"/>
      <name val="Arial"/>
      <family val="2"/>
    </font>
    <font>
      <sz val="12"/>
      <name val="Arial"/>
      <family val="2"/>
    </font>
    <font>
      <sz val="12"/>
      <name val="Arial"/>
      <family val="2"/>
    </font>
    <font>
      <sz val="10"/>
      <name val="Arial"/>
      <family val="2"/>
    </font>
    <font>
      <b/>
      <sz val="14"/>
      <name val="Arial"/>
      <family val="2"/>
    </font>
    <font>
      <vertAlign val="subscript"/>
      <sz val="12"/>
      <name val="Arial"/>
      <family val="2"/>
    </font>
    <font>
      <sz val="14"/>
      <name val="Arial"/>
      <family val="2"/>
    </font>
    <font>
      <sz val="12"/>
      <color indexed="10"/>
      <name val="Arial"/>
      <family val="2"/>
    </font>
    <font>
      <sz val="14"/>
      <name val="Arial"/>
      <family val="2"/>
    </font>
    <font>
      <sz val="10"/>
      <name val="Arial"/>
      <family val="2"/>
    </font>
    <font>
      <sz val="28"/>
      <color indexed="50"/>
      <name val="Webdings"/>
      <family val="1"/>
      <charset val="2"/>
    </font>
    <font>
      <u/>
      <sz val="12"/>
      <name val="Arial"/>
      <family val="2"/>
    </font>
    <font>
      <u/>
      <sz val="12"/>
      <name val="Arial"/>
      <family val="2"/>
    </font>
    <font>
      <b/>
      <sz val="12"/>
      <color rgb="FF00ACA2"/>
      <name val="Arial"/>
      <family val="2"/>
    </font>
    <font>
      <sz val="28"/>
      <color rgb="FF00ACA2"/>
      <name val="Webdings"/>
      <family val="1"/>
      <charset val="2"/>
    </font>
    <font>
      <sz val="10"/>
      <color theme="1"/>
      <name val="Arial"/>
      <family val="2"/>
    </font>
    <font>
      <sz val="11"/>
      <name val="Arial"/>
      <family val="2"/>
    </font>
    <font>
      <b/>
      <sz val="14"/>
      <color rgb="FF00ACA2"/>
      <name val="Tahoma"/>
      <family val="2"/>
    </font>
    <font>
      <sz val="10"/>
      <color indexed="8"/>
      <name val="Arial"/>
      <family val="2"/>
    </font>
    <font>
      <sz val="12"/>
      <color rgb="FFFF0000"/>
      <name val="Arial"/>
      <family val="2"/>
    </font>
    <font>
      <sz val="10"/>
      <color theme="0"/>
      <name val="Arial"/>
      <family val="2"/>
    </font>
    <font>
      <sz val="10"/>
      <name val="Arial"/>
      <family val="2"/>
    </font>
    <font>
      <b/>
      <sz val="11"/>
      <name val="Arial"/>
      <family val="2"/>
    </font>
    <font>
      <b/>
      <sz val="10"/>
      <color theme="0"/>
      <name val="Arial"/>
      <family val="2"/>
    </font>
    <font>
      <sz val="10"/>
      <color rgb="FFFF0000"/>
      <name val="Arial"/>
      <family val="2"/>
    </font>
    <font>
      <sz val="11"/>
      <color theme="0"/>
      <name val="Arial"/>
      <family val="2"/>
    </font>
    <font>
      <b/>
      <sz val="12"/>
      <color rgb="FFFF0000"/>
      <name val="Arial"/>
      <family val="2"/>
    </font>
    <font>
      <sz val="12"/>
      <color indexed="8"/>
      <name val="Arial"/>
      <family val="2"/>
    </font>
    <font>
      <b/>
      <vertAlign val="subscript"/>
      <sz val="12"/>
      <name val="Arial"/>
      <family val="2"/>
    </font>
    <font>
      <sz val="14"/>
      <color rgb="FFFF0000"/>
      <name val="Arial"/>
      <family val="2"/>
    </font>
    <font>
      <vertAlign val="superscript"/>
      <sz val="10"/>
      <name val="Arial"/>
      <family val="2"/>
    </font>
    <font>
      <sz val="36"/>
      <color rgb="FF00ACA2"/>
      <name val="Wingdings"/>
      <charset val="2"/>
    </font>
    <font>
      <vertAlign val="superscript"/>
      <sz val="11"/>
      <name val="Arial"/>
      <family val="2"/>
    </font>
    <font>
      <b/>
      <sz val="11"/>
      <color theme="0"/>
      <name val="Arial"/>
      <family val="2"/>
    </font>
    <font>
      <sz val="12"/>
      <color theme="3"/>
      <name val="Arial"/>
      <family val="2"/>
    </font>
    <font>
      <b/>
      <sz val="12"/>
      <color theme="1" tint="0.14999847407452621"/>
      <name val="Arial"/>
      <family val="2"/>
    </font>
    <font>
      <sz val="10"/>
      <color theme="1" tint="0.14999847407452621"/>
      <name val="Arial"/>
      <family val="2"/>
    </font>
    <font>
      <sz val="12"/>
      <color theme="0"/>
      <name val="Arial"/>
      <family val="2"/>
    </font>
    <font>
      <b/>
      <vertAlign val="subscript"/>
      <sz val="10"/>
      <color theme="0"/>
      <name val="Arial"/>
      <family val="2"/>
    </font>
    <font>
      <b/>
      <vertAlign val="subscript"/>
      <sz val="10"/>
      <name val="Arial"/>
      <family val="2"/>
    </font>
    <font>
      <b/>
      <vertAlign val="superscript"/>
      <sz val="10"/>
      <name val="Arial"/>
      <family val="2"/>
    </font>
    <font>
      <b/>
      <sz val="10"/>
      <color theme="7" tint="-0.499984740745262"/>
      <name val="Arial"/>
      <family val="2"/>
    </font>
    <font>
      <vertAlign val="subscript"/>
      <sz val="10"/>
      <color theme="0"/>
      <name val="Arial"/>
      <family val="2"/>
    </font>
    <font>
      <b/>
      <u/>
      <sz val="10"/>
      <color theme="0"/>
      <name val="Arial"/>
      <family val="2"/>
    </font>
    <font>
      <b/>
      <sz val="12"/>
      <color theme="7" tint="-0.499984740745262"/>
      <name val="Arial"/>
      <family val="2"/>
    </font>
    <font>
      <vertAlign val="subscript"/>
      <sz val="10"/>
      <name val="Arial"/>
      <family val="2"/>
    </font>
    <font>
      <sz val="12"/>
      <color theme="5"/>
      <name val="Arial"/>
      <family val="2"/>
    </font>
    <font>
      <b/>
      <sz val="10"/>
      <color rgb="FF7030A0"/>
      <name val="Arial"/>
      <family val="2"/>
    </font>
    <font>
      <b/>
      <sz val="12"/>
      <color theme="0"/>
      <name val="Arial"/>
      <family val="2"/>
    </font>
    <font>
      <sz val="12"/>
      <color theme="1"/>
      <name val="Arial"/>
      <family val="2"/>
    </font>
    <font>
      <sz val="12"/>
      <color theme="1" tint="0.249977111117893"/>
      <name val="Arial"/>
      <family val="2"/>
    </font>
    <font>
      <sz val="10"/>
      <color theme="1" tint="0.249977111117893"/>
      <name val="Arial"/>
      <family val="2"/>
    </font>
    <font>
      <sz val="10"/>
      <color theme="3" tint="-0.249977111117893"/>
      <name val="Arial"/>
      <family val="2"/>
    </font>
    <font>
      <sz val="12"/>
      <color theme="3" tint="-0.249977111117893"/>
      <name val="Arial"/>
      <family val="2"/>
    </font>
    <font>
      <vertAlign val="superscript"/>
      <sz val="10"/>
      <color theme="3" tint="-0.249977111117893"/>
      <name val="Arial"/>
      <family val="2"/>
    </font>
    <font>
      <b/>
      <vertAlign val="subscript"/>
      <sz val="12"/>
      <color theme="0"/>
      <name val="Arial"/>
      <family val="2"/>
    </font>
    <font>
      <sz val="14"/>
      <color theme="0"/>
      <name val="Arial"/>
      <family val="2"/>
    </font>
    <font>
      <vertAlign val="subscript"/>
      <sz val="14"/>
      <color theme="0"/>
      <name val="Arial"/>
      <family val="2"/>
    </font>
    <font>
      <sz val="16"/>
      <color theme="0"/>
      <name val="Arial"/>
      <family val="2"/>
    </font>
    <font>
      <vertAlign val="subscript"/>
      <sz val="16"/>
      <color theme="0"/>
      <name val="Arial"/>
      <family val="2"/>
    </font>
    <font>
      <b/>
      <sz val="16"/>
      <color theme="0"/>
      <name val="Arial"/>
      <family val="2"/>
    </font>
    <font>
      <u/>
      <sz val="10"/>
      <color theme="10"/>
      <name val="Arial"/>
      <family val="2"/>
    </font>
    <font>
      <i/>
      <sz val="10"/>
      <name val="Arial"/>
      <family val="2"/>
    </font>
    <font>
      <b/>
      <sz val="10"/>
      <color theme="0" tint="-4.9989318521683403E-2"/>
      <name val="Arial"/>
      <family val="2"/>
    </font>
    <font>
      <u/>
      <sz val="11"/>
      <color theme="10"/>
      <name val="Arial"/>
      <family val="2"/>
    </font>
  </fonts>
  <fills count="33">
    <fill>
      <patternFill patternType="none"/>
    </fill>
    <fill>
      <patternFill patternType="gray125"/>
    </fill>
    <fill>
      <patternFill patternType="solid">
        <fgColor indexed="22"/>
        <bgColor indexed="9"/>
      </patternFill>
    </fill>
    <fill>
      <patternFill patternType="solid">
        <fgColor indexed="22"/>
        <bgColor indexed="64"/>
      </patternFill>
    </fill>
    <fill>
      <patternFill patternType="darkTrellis"/>
    </fill>
    <fill>
      <patternFill patternType="solid">
        <fgColor indexed="22"/>
        <bgColor indexed="55"/>
      </patternFill>
    </fill>
    <fill>
      <patternFill patternType="solid">
        <fgColor indexed="13"/>
        <bgColor indexed="64"/>
      </patternFill>
    </fill>
    <fill>
      <patternFill patternType="solid">
        <fgColor indexed="50"/>
        <bgColor indexed="64"/>
      </patternFill>
    </fill>
    <fill>
      <patternFill patternType="solid">
        <fgColor indexed="42"/>
        <bgColor indexed="64"/>
      </patternFill>
    </fill>
    <fill>
      <patternFill patternType="solid">
        <fgColor indexed="51"/>
        <bgColor indexed="64"/>
      </patternFill>
    </fill>
    <fill>
      <patternFill patternType="solid">
        <fgColor indexed="9"/>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9" tint="-0.249977111117893"/>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theme="3"/>
        <bgColor indexed="64"/>
      </patternFill>
    </fill>
    <fill>
      <patternFill patternType="solid">
        <fgColor theme="0" tint="-0.14999847407452621"/>
        <bgColor indexed="64"/>
      </patternFill>
    </fill>
    <fill>
      <patternFill patternType="solid">
        <fgColor theme="4" tint="-0.499984740745262"/>
        <bgColor indexed="64"/>
      </patternFill>
    </fill>
    <fill>
      <patternFill patternType="solid">
        <fgColor theme="8"/>
        <bgColor indexed="64"/>
      </patternFill>
    </fill>
    <fill>
      <patternFill patternType="solid">
        <fgColor rgb="FF002060"/>
        <bgColor indexed="64"/>
      </patternFill>
    </fill>
    <fill>
      <patternFill patternType="solid">
        <fgColor theme="3" tint="0.39997558519241921"/>
        <bgColor indexed="64"/>
      </patternFill>
    </fill>
    <fill>
      <patternFill patternType="solid">
        <fgColor theme="1" tint="4.9989318521683403E-2"/>
        <bgColor indexed="64"/>
      </patternFill>
    </fill>
    <fill>
      <patternFill patternType="solid">
        <fgColor theme="2"/>
        <bgColor indexed="64"/>
      </patternFill>
    </fill>
    <fill>
      <patternFill patternType="solid">
        <fgColor theme="6"/>
        <bgColor indexed="64"/>
      </patternFill>
    </fill>
    <fill>
      <patternFill patternType="solid">
        <fgColor theme="8" tint="0.79998168889431442"/>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0"/>
        <bgColor indexed="64"/>
      </patternFill>
    </fill>
    <fill>
      <patternFill patternType="solid">
        <fgColor rgb="FF00ACA2"/>
        <bgColor indexed="64"/>
      </patternFill>
    </fill>
    <fill>
      <patternFill patternType="solid">
        <fgColor theme="9" tint="0.39997558519241921"/>
        <bgColor indexed="64"/>
      </patternFill>
    </fill>
  </fills>
  <borders count="21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22"/>
      </bottom>
      <diagonal/>
    </border>
    <border>
      <left/>
      <right/>
      <top/>
      <bottom style="hair">
        <color indexed="64"/>
      </bottom>
      <diagonal/>
    </border>
    <border>
      <left/>
      <right/>
      <top/>
      <bottom style="thin">
        <color indexed="64"/>
      </bottom>
      <diagonal/>
    </border>
    <border>
      <left/>
      <right/>
      <top/>
      <bottom style="hair">
        <color indexed="8"/>
      </bottom>
      <diagonal/>
    </border>
    <border>
      <left/>
      <right/>
      <top style="double">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9"/>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medium">
        <color indexed="64"/>
      </right>
      <top style="double">
        <color indexed="64"/>
      </top>
      <bottom/>
      <diagonal/>
    </border>
    <border>
      <left style="medium">
        <color indexed="64"/>
      </left>
      <right style="medium">
        <color indexed="64"/>
      </right>
      <top style="double">
        <color indexed="64"/>
      </top>
      <bottom/>
      <diagonal/>
    </border>
    <border>
      <left/>
      <right style="medium">
        <color indexed="64"/>
      </right>
      <top style="double">
        <color indexed="64"/>
      </top>
      <bottom style="medium">
        <color indexed="64"/>
      </bottom>
      <diagonal/>
    </border>
    <border>
      <left/>
      <right style="thin">
        <color indexed="9"/>
      </right>
      <top/>
      <bottom style="thin">
        <color indexed="9"/>
      </bottom>
      <diagonal/>
    </border>
    <border>
      <left/>
      <right/>
      <top style="thin">
        <color indexed="9"/>
      </top>
      <bottom/>
      <diagonal/>
    </border>
    <border>
      <left/>
      <right style="thin">
        <color indexed="9"/>
      </right>
      <top style="thin">
        <color indexed="9"/>
      </top>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top/>
      <bottom style="thin">
        <color indexed="9"/>
      </bottom>
      <diagonal/>
    </border>
    <border>
      <left/>
      <right/>
      <top/>
      <bottom style="thin">
        <color indexed="9"/>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hair">
        <color indexed="19"/>
      </left>
      <right style="hair">
        <color indexed="19"/>
      </right>
      <top style="hair">
        <color indexed="19"/>
      </top>
      <bottom style="hair">
        <color indexed="19"/>
      </bottom>
      <diagonal/>
    </border>
    <border>
      <left style="thin">
        <color theme="0"/>
      </left>
      <right/>
      <top style="thin">
        <color theme="0"/>
      </top>
      <bottom style="thin">
        <color theme="0"/>
      </bottom>
      <diagonal/>
    </border>
    <border>
      <left style="thin">
        <color rgb="FF00ACA2"/>
      </left>
      <right style="thin">
        <color rgb="FF00ACA2"/>
      </right>
      <top style="thin">
        <color rgb="FF00ACA2"/>
      </top>
      <bottom style="thin">
        <color rgb="FF00ACA2"/>
      </bottom>
      <diagonal/>
    </border>
    <border>
      <left style="thin">
        <color rgb="FF00ACA2"/>
      </left>
      <right style="thin">
        <color rgb="FF00ACA2"/>
      </right>
      <top/>
      <bottom style="thin">
        <color rgb="FF00ACA2"/>
      </bottom>
      <diagonal/>
    </border>
    <border>
      <left/>
      <right/>
      <top/>
      <bottom style="medium">
        <color theme="9" tint="-0.499984740745262"/>
      </bottom>
      <diagonal/>
    </border>
    <border>
      <left style="medium">
        <color indexed="64"/>
      </left>
      <right/>
      <top/>
      <bottom style="medium">
        <color theme="9" tint="-0.499984740745262"/>
      </bottom>
      <diagonal/>
    </border>
    <border>
      <left/>
      <right style="medium">
        <color indexed="64"/>
      </right>
      <top/>
      <bottom style="medium">
        <color theme="9" tint="-0.499984740745262"/>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theme="3" tint="-0.249977111117893"/>
      </left>
      <right style="thin">
        <color theme="3" tint="-0.249977111117893"/>
      </right>
      <top style="medium">
        <color theme="3" tint="-0.249977111117893"/>
      </top>
      <bottom style="thin">
        <color theme="3" tint="-0.249977111117893"/>
      </bottom>
      <diagonal/>
    </border>
    <border>
      <left style="thin">
        <color theme="3" tint="-0.249977111117893"/>
      </left>
      <right style="thin">
        <color theme="3" tint="-0.249977111117893"/>
      </right>
      <top style="medium">
        <color theme="3" tint="-0.249977111117893"/>
      </top>
      <bottom style="thin">
        <color theme="3" tint="-0.249977111117893"/>
      </bottom>
      <diagonal/>
    </border>
    <border>
      <left style="thin">
        <color theme="3" tint="-0.249977111117893"/>
      </left>
      <right style="medium">
        <color theme="3" tint="-0.249977111117893"/>
      </right>
      <top style="medium">
        <color theme="3" tint="-0.249977111117893"/>
      </top>
      <bottom style="thin">
        <color theme="3" tint="-0.249977111117893"/>
      </bottom>
      <diagonal/>
    </border>
    <border>
      <left style="medium">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medium">
        <color theme="3" tint="-0.249977111117893"/>
      </right>
      <top style="thin">
        <color theme="3" tint="-0.249977111117893"/>
      </top>
      <bottom style="thin">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style="medium">
        <color indexed="64"/>
      </left>
      <right/>
      <top style="medium">
        <color theme="3" tint="-0.249977111117893"/>
      </top>
      <bottom style="medium">
        <color theme="3" tint="-0.249977111117893"/>
      </bottom>
      <diagonal/>
    </border>
    <border>
      <left/>
      <right style="medium">
        <color indexed="64"/>
      </right>
      <top style="medium">
        <color theme="3" tint="-0.249977111117893"/>
      </top>
      <bottom style="medium">
        <color theme="3" tint="-0.249977111117893"/>
      </bottom>
      <diagonal/>
    </border>
    <border>
      <left style="medium">
        <color indexed="64"/>
      </left>
      <right style="medium">
        <color indexed="64"/>
      </right>
      <top style="medium">
        <color theme="3" tint="-0.249977111117893"/>
      </top>
      <bottom style="medium">
        <color theme="3" tint="-0.249977111117893"/>
      </bottom>
      <diagonal/>
    </border>
    <border>
      <left style="medium">
        <color indexed="64"/>
      </left>
      <right style="medium">
        <color theme="3" tint="-0.249977111117893"/>
      </right>
      <top style="medium">
        <color theme="3" tint="-0.249977111117893"/>
      </top>
      <bottom style="medium">
        <color theme="3" tint="-0.249977111117893"/>
      </bottom>
      <diagonal/>
    </border>
    <border>
      <left/>
      <right style="thin">
        <color theme="3" tint="-0.249977111117893"/>
      </right>
      <top style="medium">
        <color theme="3" tint="-0.249977111117893"/>
      </top>
      <bottom style="thin">
        <color theme="3" tint="-0.249977111117893"/>
      </bottom>
      <diagonal/>
    </border>
    <border>
      <left/>
      <right style="thin">
        <color theme="3" tint="-0.249977111117893"/>
      </right>
      <top style="thin">
        <color theme="3" tint="-0.249977111117893"/>
      </top>
      <bottom style="thin">
        <color theme="3" tint="-0.249977111117893"/>
      </bottom>
      <diagonal/>
    </border>
    <border>
      <left style="medium">
        <color indexed="64"/>
      </left>
      <right style="thin">
        <color theme="0"/>
      </right>
      <top/>
      <bottom style="medium">
        <color theme="3" tint="-0.249977111117893"/>
      </bottom>
      <diagonal/>
    </border>
    <border>
      <left style="thin">
        <color theme="0"/>
      </left>
      <right style="thin">
        <color theme="0"/>
      </right>
      <top/>
      <bottom style="medium">
        <color theme="3" tint="-0.249977111117893"/>
      </bottom>
      <diagonal/>
    </border>
    <border>
      <left style="thin">
        <color theme="0"/>
      </left>
      <right style="medium">
        <color indexed="64"/>
      </right>
      <top/>
      <bottom style="medium">
        <color theme="3" tint="-0.249977111117893"/>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rgb="FF00ACA2"/>
      </left>
      <right/>
      <top/>
      <bottom style="thin">
        <color rgb="FF00ACA2"/>
      </bottom>
      <diagonal/>
    </border>
    <border>
      <left style="thin">
        <color rgb="FF00ACA2"/>
      </left>
      <right/>
      <top style="thin">
        <color rgb="FF00ACA2"/>
      </top>
      <bottom style="thin">
        <color rgb="FF00ACA2"/>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theme="3" tint="-0.249977111117893"/>
      </right>
      <top style="medium">
        <color indexed="64"/>
      </top>
      <bottom style="thin">
        <color theme="3" tint="-0.249977111117893"/>
      </bottom>
      <diagonal/>
    </border>
    <border>
      <left style="thin">
        <color theme="3" tint="-0.249977111117893"/>
      </left>
      <right style="thin">
        <color theme="3" tint="-0.249977111117893"/>
      </right>
      <top style="medium">
        <color indexed="64"/>
      </top>
      <bottom style="thin">
        <color theme="3" tint="-0.249977111117893"/>
      </bottom>
      <diagonal/>
    </border>
    <border>
      <left style="thin">
        <color theme="3" tint="-0.249977111117893"/>
      </left>
      <right style="medium">
        <color indexed="64"/>
      </right>
      <top style="medium">
        <color indexed="64"/>
      </top>
      <bottom style="thin">
        <color theme="3" tint="-0.249977111117893"/>
      </bottom>
      <diagonal/>
    </border>
    <border>
      <left style="medium">
        <color indexed="64"/>
      </left>
      <right style="thin">
        <color theme="3" tint="-0.249977111117893"/>
      </right>
      <top style="thin">
        <color theme="3" tint="-0.249977111117893"/>
      </top>
      <bottom style="thin">
        <color theme="3" tint="-0.249977111117893"/>
      </bottom>
      <diagonal/>
    </border>
    <border>
      <left style="thin">
        <color theme="3" tint="-0.249977111117893"/>
      </left>
      <right style="medium">
        <color indexed="64"/>
      </right>
      <top style="thin">
        <color theme="3" tint="-0.249977111117893"/>
      </top>
      <bottom style="thin">
        <color theme="3" tint="-0.249977111117893"/>
      </bottom>
      <diagonal/>
    </border>
    <border>
      <left style="thin">
        <color theme="3" tint="-0.249977111117893"/>
      </left>
      <right/>
      <top style="medium">
        <color theme="3" tint="-0.249977111117893"/>
      </top>
      <bottom style="thin">
        <color theme="3" tint="-0.249977111117893"/>
      </bottom>
      <diagonal/>
    </border>
    <border>
      <left style="thin">
        <color theme="3" tint="-0.249977111117893"/>
      </left>
      <right/>
      <top style="thin">
        <color theme="3" tint="-0.249977111117893"/>
      </top>
      <bottom style="thin">
        <color theme="3" tint="-0.249977111117893"/>
      </bottom>
      <diagonal/>
    </border>
    <border>
      <left style="medium">
        <color theme="5" tint="-0.249977111117893"/>
      </left>
      <right style="medium">
        <color theme="5" tint="-0.249977111117893"/>
      </right>
      <top style="medium">
        <color theme="5" tint="-0.249977111117893"/>
      </top>
      <bottom style="medium">
        <color theme="5" tint="-0.249977111117893"/>
      </bottom>
      <diagonal/>
    </border>
    <border>
      <left style="medium">
        <color theme="5" tint="-0.249977111117893"/>
      </left>
      <right/>
      <top style="medium">
        <color theme="5" tint="-0.249977111117893"/>
      </top>
      <bottom style="medium">
        <color theme="5" tint="-0.249977111117893"/>
      </bottom>
      <diagonal/>
    </border>
    <border>
      <left/>
      <right/>
      <top style="medium">
        <color theme="5" tint="-0.249977111117893"/>
      </top>
      <bottom style="medium">
        <color theme="5" tint="-0.249977111117893"/>
      </bottom>
      <diagonal/>
    </border>
    <border>
      <left/>
      <right style="medium">
        <color theme="5" tint="-0.249977111117893"/>
      </right>
      <top style="medium">
        <color theme="5" tint="-0.249977111117893"/>
      </top>
      <bottom style="medium">
        <color theme="5" tint="-0.249977111117893"/>
      </bottom>
      <diagonal/>
    </border>
    <border>
      <left/>
      <right/>
      <top style="thin">
        <color theme="3" tint="-0.249977111117893"/>
      </top>
      <bottom style="thin">
        <color theme="3" tint="-0.249977111117893"/>
      </bottom>
      <diagonal/>
    </border>
    <border>
      <left/>
      <right style="thin">
        <color indexed="64"/>
      </right>
      <top style="medium">
        <color indexed="64"/>
      </top>
      <bottom style="medium">
        <color indexed="64"/>
      </bottom>
      <diagonal/>
    </border>
    <border>
      <left style="medium">
        <color rgb="FF00ACA2"/>
      </left>
      <right style="thin">
        <color theme="0"/>
      </right>
      <top style="medium">
        <color rgb="FF00ACA2"/>
      </top>
      <bottom style="thin">
        <color theme="0"/>
      </bottom>
      <diagonal/>
    </border>
    <border>
      <left style="thin">
        <color theme="0"/>
      </left>
      <right style="thin">
        <color theme="0"/>
      </right>
      <top style="medium">
        <color rgb="FF00ACA2"/>
      </top>
      <bottom style="thin">
        <color theme="0"/>
      </bottom>
      <diagonal/>
    </border>
    <border>
      <left style="medium">
        <color rgb="FF00ACA2"/>
      </left>
      <right style="thin">
        <color theme="0"/>
      </right>
      <top style="thin">
        <color theme="0"/>
      </top>
      <bottom style="thin">
        <color theme="0"/>
      </bottom>
      <diagonal/>
    </border>
    <border>
      <left style="medium">
        <color rgb="FF00ACA2"/>
      </left>
      <right style="thin">
        <color rgb="FF00ACA2"/>
      </right>
      <top/>
      <bottom style="thin">
        <color rgb="FF00ACA2"/>
      </bottom>
      <diagonal/>
    </border>
    <border>
      <left style="thin">
        <color rgb="FF00ACA2"/>
      </left>
      <right style="medium">
        <color rgb="FF00ACA2"/>
      </right>
      <top/>
      <bottom style="thin">
        <color rgb="FF00ACA2"/>
      </bottom>
      <diagonal/>
    </border>
    <border>
      <left style="medium">
        <color rgb="FF00ACA2"/>
      </left>
      <right style="thin">
        <color rgb="FF00ACA2"/>
      </right>
      <top style="thin">
        <color rgb="FF00ACA2"/>
      </top>
      <bottom style="thin">
        <color rgb="FF00ACA2"/>
      </bottom>
      <diagonal/>
    </border>
    <border>
      <left style="thin">
        <color rgb="FF00ACA2"/>
      </left>
      <right style="medium">
        <color rgb="FF00ACA2"/>
      </right>
      <top style="thin">
        <color rgb="FF00ACA2"/>
      </top>
      <bottom style="thin">
        <color rgb="FF00ACA2"/>
      </bottom>
      <diagonal/>
    </border>
    <border>
      <left style="medium">
        <color rgb="FF00ACA2"/>
      </left>
      <right style="thin">
        <color rgb="FF00ACA2"/>
      </right>
      <top style="thin">
        <color rgb="FF00ACA2"/>
      </top>
      <bottom style="medium">
        <color rgb="FF00ACA2"/>
      </bottom>
      <diagonal/>
    </border>
    <border>
      <left style="thin">
        <color rgb="FF00ACA2"/>
      </left>
      <right style="thin">
        <color rgb="FF00ACA2"/>
      </right>
      <top style="thin">
        <color rgb="FF00ACA2"/>
      </top>
      <bottom style="medium">
        <color rgb="FF00ACA2"/>
      </bottom>
      <diagonal/>
    </border>
    <border>
      <left style="thin">
        <color rgb="FF00ACA2"/>
      </left>
      <right style="medium">
        <color rgb="FF00ACA2"/>
      </right>
      <top style="thin">
        <color rgb="FF00ACA2"/>
      </top>
      <bottom style="medium">
        <color rgb="FF00ACA2"/>
      </bottom>
      <diagonal/>
    </border>
    <border>
      <left style="thin">
        <color theme="0"/>
      </left>
      <right style="thin">
        <color theme="0"/>
      </right>
      <top style="thin">
        <color rgb="FF00ACA2"/>
      </top>
      <bottom style="thin">
        <color theme="0"/>
      </bottom>
      <diagonal/>
    </border>
    <border>
      <left style="thin">
        <color theme="0"/>
      </left>
      <right/>
      <top style="medium">
        <color rgb="FF00ACA2"/>
      </top>
      <bottom style="thin">
        <color theme="0"/>
      </bottom>
      <diagonal/>
    </border>
    <border>
      <left style="thin">
        <color rgb="FF00ACA2"/>
      </left>
      <right style="thin">
        <color theme="0"/>
      </right>
      <top style="medium">
        <color rgb="FF00ACA2"/>
      </top>
      <bottom style="thin">
        <color theme="0"/>
      </bottom>
      <diagonal/>
    </border>
    <border>
      <left style="thin">
        <color rgb="FF00ACA2"/>
      </left>
      <right style="thin">
        <color rgb="FF00ACA2"/>
      </right>
      <top style="medium">
        <color rgb="FF00ACA2"/>
      </top>
      <bottom style="thin">
        <color rgb="FF00ACA2"/>
      </bottom>
      <diagonal/>
    </border>
    <border>
      <left style="thin">
        <color rgb="FF00ACA2"/>
      </left>
      <right style="thin">
        <color rgb="FF00ACA2"/>
      </right>
      <top style="medium">
        <color rgb="FF00ACA2"/>
      </top>
      <bottom style="thin">
        <color theme="0"/>
      </bottom>
      <diagonal/>
    </border>
    <border>
      <left style="thin">
        <color rgb="FF00ACA2"/>
      </left>
      <right style="thin">
        <color rgb="FF00ACA2"/>
      </right>
      <top style="thin">
        <color theme="0"/>
      </top>
      <bottom style="thin">
        <color rgb="FF00ACA2"/>
      </bottom>
      <diagonal/>
    </border>
    <border>
      <left style="thin">
        <color theme="9" tint="-0.499984740745262"/>
      </left>
      <right/>
      <top/>
      <bottom style="medium">
        <color rgb="FF00ACA2"/>
      </bottom>
      <diagonal/>
    </border>
    <border>
      <left/>
      <right style="medium">
        <color rgb="FF00ACA2"/>
      </right>
      <top/>
      <bottom style="medium">
        <color rgb="FF00ACA2"/>
      </bottom>
      <diagonal/>
    </border>
    <border>
      <left style="thin">
        <color theme="9" tint="-0.499984740745262"/>
      </left>
      <right style="thin">
        <color theme="9" tint="-0.499984740745262"/>
      </right>
      <top/>
      <bottom style="medium">
        <color rgb="FF00ACA2"/>
      </bottom>
      <diagonal/>
    </border>
    <border>
      <left style="medium">
        <color rgb="FF00ACA2"/>
      </left>
      <right/>
      <top/>
      <bottom style="medium">
        <color rgb="FF00ACA2"/>
      </bottom>
      <diagonal/>
    </border>
    <border>
      <left/>
      <right/>
      <top/>
      <bottom style="medium">
        <color rgb="FF00ACA2"/>
      </bottom>
      <diagonal/>
    </border>
    <border>
      <left/>
      <right style="thin">
        <color theme="9" tint="-0.499984740745262"/>
      </right>
      <top/>
      <bottom style="medium">
        <color rgb="FF00ACA2"/>
      </bottom>
      <diagonal/>
    </border>
    <border>
      <left style="medium">
        <color theme="0"/>
      </left>
      <right/>
      <top style="medium">
        <color rgb="FF00ACA2"/>
      </top>
      <bottom style="medium">
        <color theme="0"/>
      </bottom>
      <diagonal/>
    </border>
    <border>
      <left/>
      <right style="medium">
        <color rgb="FF00ACA2"/>
      </right>
      <top style="medium">
        <color rgb="FF00ACA2"/>
      </top>
      <bottom style="medium">
        <color theme="0"/>
      </bottom>
      <diagonal/>
    </border>
    <border>
      <left style="thin">
        <color theme="9" tint="-0.499984740745262"/>
      </left>
      <right style="thin">
        <color theme="9" tint="-0.499984740745262"/>
      </right>
      <top style="medium">
        <color rgb="FF00ACA2"/>
      </top>
      <bottom style="medium">
        <color theme="0"/>
      </bottom>
      <diagonal/>
    </border>
    <border>
      <left style="thin">
        <color theme="9" tint="-0.499984740745262"/>
      </left>
      <right/>
      <top style="medium">
        <color rgb="FF00ACA2"/>
      </top>
      <bottom style="medium">
        <color theme="0"/>
      </bottom>
      <diagonal/>
    </border>
    <border>
      <left style="medium">
        <color rgb="FF00ACA2"/>
      </left>
      <right style="thin">
        <color theme="9" tint="-0.499984740745262"/>
      </right>
      <top style="medium">
        <color rgb="FF00ACA2"/>
      </top>
      <bottom style="medium">
        <color theme="0"/>
      </bottom>
      <diagonal/>
    </border>
    <border>
      <left style="medium">
        <color rgb="FF00ACA2"/>
      </left>
      <right/>
      <top style="medium">
        <color theme="0"/>
      </top>
      <bottom style="medium">
        <color rgb="FF00ACA2"/>
      </bottom>
      <diagonal/>
    </border>
    <border>
      <left/>
      <right/>
      <top style="medium">
        <color theme="0"/>
      </top>
      <bottom style="medium">
        <color rgb="FF00ACA2"/>
      </bottom>
      <diagonal/>
    </border>
    <border>
      <left/>
      <right style="medium">
        <color theme="0"/>
      </right>
      <top style="medium">
        <color theme="0"/>
      </top>
      <bottom style="medium">
        <color rgb="FF00ACA2"/>
      </bottom>
      <diagonal/>
    </border>
    <border>
      <left style="medium">
        <color rgb="FF00ACA2"/>
      </left>
      <right style="thin">
        <color theme="0"/>
      </right>
      <top style="medium">
        <color rgb="FF00ACA2"/>
      </top>
      <bottom style="thin">
        <color rgb="FF00ACA2"/>
      </bottom>
      <diagonal/>
    </border>
    <border>
      <left/>
      <right style="thin">
        <color rgb="FF00ACA2"/>
      </right>
      <top style="medium">
        <color rgb="FF00ACA2"/>
      </top>
      <bottom style="thin">
        <color rgb="FF00ACA2"/>
      </bottom>
      <diagonal/>
    </border>
    <border>
      <left style="medium">
        <color rgb="FF00ACA2"/>
      </left>
      <right style="thin">
        <color theme="0"/>
      </right>
      <top style="thin">
        <color rgb="FF00ACA2"/>
      </top>
      <bottom style="thin">
        <color rgb="FF00ACA2"/>
      </bottom>
      <diagonal/>
    </border>
    <border>
      <left style="thin">
        <color theme="0"/>
      </left>
      <right style="thin">
        <color theme="0"/>
      </right>
      <top style="thin">
        <color theme="0"/>
      </top>
      <bottom style="thin">
        <color rgb="FF00ACA2"/>
      </bottom>
      <diagonal/>
    </border>
    <border>
      <left style="thin">
        <color rgb="FF00ACA2"/>
      </left>
      <right/>
      <top style="medium">
        <color rgb="FF00ACA2"/>
      </top>
      <bottom style="thin">
        <color theme="0"/>
      </bottom>
      <diagonal/>
    </border>
    <border>
      <left style="thin">
        <color theme="0"/>
      </left>
      <right/>
      <top style="thin">
        <color theme="0"/>
      </top>
      <bottom style="thin">
        <color rgb="FF00ACA2"/>
      </bottom>
      <diagonal/>
    </border>
    <border>
      <left/>
      <right style="thin">
        <color rgb="FF00ACA2"/>
      </right>
      <top style="thin">
        <color rgb="FF00ACA2"/>
      </top>
      <bottom style="thin">
        <color theme="0"/>
      </bottom>
      <diagonal/>
    </border>
    <border>
      <left style="thin">
        <color rgb="FF00ACA2"/>
      </left>
      <right style="thin">
        <color rgb="FF00ACA2"/>
      </right>
      <top style="thin">
        <color rgb="FF00ACA2"/>
      </top>
      <bottom style="thin">
        <color theme="0"/>
      </bottom>
      <diagonal/>
    </border>
    <border>
      <left style="thin">
        <color theme="0"/>
      </left>
      <right style="thin">
        <color theme="0"/>
      </right>
      <top/>
      <bottom style="thin">
        <color theme="0"/>
      </bottom>
      <diagonal/>
    </border>
    <border>
      <left style="thin">
        <color rgb="FF00ACA2"/>
      </left>
      <right/>
      <top style="thin">
        <color rgb="FF00ACA2"/>
      </top>
      <bottom style="thin">
        <color theme="0"/>
      </bottom>
      <diagonal/>
    </border>
    <border>
      <left/>
      <right style="thin">
        <color rgb="FF00ACA2"/>
      </right>
      <top style="medium">
        <color rgb="FF00ACA2"/>
      </top>
      <bottom style="thin">
        <color theme="0"/>
      </bottom>
      <diagonal/>
    </border>
    <border>
      <left/>
      <right/>
      <top/>
      <bottom style="thin">
        <color rgb="FF00ACA2"/>
      </bottom>
      <diagonal/>
    </border>
    <border>
      <left style="thin">
        <color theme="0"/>
      </left>
      <right style="thin">
        <color theme="0"/>
      </right>
      <top style="medium">
        <color rgb="FF00ACA2"/>
      </top>
      <bottom style="thin">
        <color rgb="FF00ACA2"/>
      </bottom>
      <diagonal/>
    </border>
    <border>
      <left style="thin">
        <color theme="0"/>
      </left>
      <right style="thin">
        <color rgb="FF00ACA2"/>
      </right>
      <top style="medium">
        <color rgb="FF00ACA2"/>
      </top>
      <bottom style="thin">
        <color theme="0"/>
      </bottom>
      <diagonal/>
    </border>
    <border>
      <left style="thin">
        <color rgb="FF00ACA2"/>
      </left>
      <right/>
      <top style="medium">
        <color rgb="FF00ACA2"/>
      </top>
      <bottom style="thin">
        <color rgb="FF00ACA2"/>
      </bottom>
      <diagonal/>
    </border>
    <border>
      <left/>
      <right style="medium">
        <color rgb="FF00ACA2"/>
      </right>
      <top style="medium">
        <color rgb="FF00ACA2"/>
      </top>
      <bottom style="thin">
        <color rgb="FF00ACA2"/>
      </bottom>
      <diagonal/>
    </border>
    <border>
      <left/>
      <right style="medium">
        <color rgb="FF00ACA2"/>
      </right>
      <top style="thin">
        <color rgb="FF00ACA2"/>
      </top>
      <bottom style="thin">
        <color theme="0"/>
      </bottom>
      <diagonal/>
    </border>
    <border>
      <left style="medium">
        <color rgb="FF00ACA2"/>
      </left>
      <right/>
      <top style="medium">
        <color rgb="FF00ACA2"/>
      </top>
      <bottom/>
      <diagonal/>
    </border>
    <border>
      <left/>
      <right/>
      <top style="medium">
        <color rgb="FF00ACA2"/>
      </top>
      <bottom/>
      <diagonal/>
    </border>
    <border>
      <left/>
      <right style="medium">
        <color rgb="FF00ACA2"/>
      </right>
      <top style="medium">
        <color rgb="FF00ACA2"/>
      </top>
      <bottom/>
      <diagonal/>
    </border>
    <border>
      <left style="medium">
        <color rgb="FF00ACA2"/>
      </left>
      <right/>
      <top/>
      <bottom/>
      <diagonal/>
    </border>
    <border>
      <left/>
      <right style="medium">
        <color rgb="FF00ACA2"/>
      </right>
      <top/>
      <bottom/>
      <diagonal/>
    </border>
    <border>
      <left style="medium">
        <color rgb="FF00ACA2"/>
      </left>
      <right style="thin">
        <color rgb="FF00ACA2"/>
      </right>
      <top/>
      <bottom style="medium">
        <color rgb="FF00ACA2"/>
      </bottom>
      <diagonal/>
    </border>
    <border>
      <left style="thin">
        <color rgb="FF00ACA2"/>
      </left>
      <right style="thin">
        <color rgb="FF00ACA2"/>
      </right>
      <top/>
      <bottom style="medium">
        <color rgb="FF00ACA2"/>
      </bottom>
      <diagonal/>
    </border>
    <border>
      <left style="thin">
        <color rgb="FF00ACA2"/>
      </left>
      <right style="medium">
        <color rgb="FF00ACA2"/>
      </right>
      <top/>
      <bottom style="medium">
        <color rgb="FF00ACA2"/>
      </bottom>
      <diagonal/>
    </border>
    <border>
      <left style="medium">
        <color rgb="FF00ACA2"/>
      </left>
      <right style="thin">
        <color rgb="FF00ACA2"/>
      </right>
      <top style="medium">
        <color rgb="FF00ACA2"/>
      </top>
      <bottom style="medium">
        <color theme="0"/>
      </bottom>
      <diagonal/>
    </border>
    <border>
      <left style="thin">
        <color rgb="FF00ACA2"/>
      </left>
      <right style="thin">
        <color rgb="FF00ACA2"/>
      </right>
      <top style="medium">
        <color rgb="FF00ACA2"/>
      </top>
      <bottom style="medium">
        <color theme="0"/>
      </bottom>
      <diagonal/>
    </border>
    <border>
      <left style="thin">
        <color rgb="FF00ACA2"/>
      </left>
      <right style="medium">
        <color rgb="FF00ACA2"/>
      </right>
      <top style="medium">
        <color rgb="FF00ACA2"/>
      </top>
      <bottom style="medium">
        <color theme="0"/>
      </bottom>
      <diagonal/>
    </border>
    <border>
      <left style="thin">
        <color rgb="FF00ACA2"/>
      </left>
      <right style="thin">
        <color rgb="FF00ACA2"/>
      </right>
      <top/>
      <bottom style="medium">
        <color theme="0"/>
      </bottom>
      <diagonal/>
    </border>
    <border>
      <left style="thin">
        <color rgb="FF00ACA2"/>
      </left>
      <right style="medium">
        <color rgb="FF00ACA2"/>
      </right>
      <top/>
      <bottom style="medium">
        <color theme="0"/>
      </bottom>
      <diagonal/>
    </border>
    <border>
      <left style="medium">
        <color rgb="FF00ACA2"/>
      </left>
      <right style="medium">
        <color theme="0"/>
      </right>
      <top style="medium">
        <color rgb="FF00ACA2"/>
      </top>
      <bottom style="medium">
        <color theme="0"/>
      </bottom>
      <diagonal/>
    </border>
    <border>
      <left/>
      <right style="thin">
        <color rgb="FF00ACA2"/>
      </right>
      <top/>
      <bottom style="medium">
        <color theme="0"/>
      </bottom>
      <diagonal/>
    </border>
    <border>
      <left style="medium">
        <color rgb="FF00ACA2"/>
      </left>
      <right/>
      <top style="medium">
        <color rgb="FF00ACA2"/>
      </top>
      <bottom style="thin">
        <color rgb="FF00ACA2"/>
      </bottom>
      <diagonal/>
    </border>
    <border>
      <left/>
      <right/>
      <top style="medium">
        <color rgb="FF00ACA2"/>
      </top>
      <bottom style="thin">
        <color rgb="FF00ACA2"/>
      </bottom>
      <diagonal/>
    </border>
    <border>
      <left style="medium">
        <color rgb="FF00ACA2"/>
      </left>
      <right/>
      <top style="thin">
        <color rgb="FF00ACA2"/>
      </top>
      <bottom style="thin">
        <color rgb="FF00ACA2"/>
      </bottom>
      <diagonal/>
    </border>
    <border>
      <left style="medium">
        <color rgb="FF00ACA2"/>
      </left>
      <right style="thin">
        <color indexed="9"/>
      </right>
      <top/>
      <bottom style="thin">
        <color indexed="9"/>
      </bottom>
      <diagonal/>
    </border>
    <border>
      <left style="thin">
        <color indexed="9"/>
      </left>
      <right style="medium">
        <color rgb="FF00ACA2"/>
      </right>
      <top/>
      <bottom style="thin">
        <color indexed="9"/>
      </bottom>
      <diagonal/>
    </border>
    <border>
      <left style="medium">
        <color rgb="FF00ACA2"/>
      </left>
      <right style="thin">
        <color indexed="9"/>
      </right>
      <top style="thin">
        <color indexed="9"/>
      </top>
      <bottom style="thin">
        <color indexed="9"/>
      </bottom>
      <diagonal/>
    </border>
    <border>
      <left style="thin">
        <color indexed="9"/>
      </left>
      <right style="medium">
        <color rgb="FF00ACA2"/>
      </right>
      <top style="thin">
        <color indexed="9"/>
      </top>
      <bottom style="thin">
        <color indexed="9"/>
      </bottom>
      <diagonal/>
    </border>
    <border>
      <left style="medium">
        <color rgb="FF00ACA2"/>
      </left>
      <right style="thin">
        <color indexed="9"/>
      </right>
      <top/>
      <bottom style="medium">
        <color rgb="FF00ACA2"/>
      </bottom>
      <diagonal/>
    </border>
    <border>
      <left style="thin">
        <color indexed="9"/>
      </left>
      <right/>
      <top style="thin">
        <color indexed="9"/>
      </top>
      <bottom style="medium">
        <color rgb="FF00ACA2"/>
      </bottom>
      <diagonal/>
    </border>
    <border>
      <left/>
      <right/>
      <top style="thin">
        <color indexed="9"/>
      </top>
      <bottom style="medium">
        <color rgb="FF00ACA2"/>
      </bottom>
      <diagonal/>
    </border>
    <border>
      <left/>
      <right style="thin">
        <color indexed="9"/>
      </right>
      <top style="thin">
        <color indexed="9"/>
      </top>
      <bottom style="medium">
        <color rgb="FF00ACA2"/>
      </bottom>
      <diagonal/>
    </border>
    <border>
      <left style="thin">
        <color indexed="9"/>
      </left>
      <right style="thin">
        <color indexed="9"/>
      </right>
      <top style="thin">
        <color indexed="9"/>
      </top>
      <bottom style="medium">
        <color rgb="FF00ACA2"/>
      </bottom>
      <diagonal/>
    </border>
    <border>
      <left/>
      <right style="thin">
        <color indexed="9"/>
      </right>
      <top/>
      <bottom style="medium">
        <color rgb="FF00ACA2"/>
      </bottom>
      <diagonal/>
    </border>
    <border>
      <left style="thin">
        <color indexed="9"/>
      </left>
      <right style="medium">
        <color rgb="FF00ACA2"/>
      </right>
      <top/>
      <bottom style="medium">
        <color rgb="FF00ACA2"/>
      </bottom>
      <diagonal/>
    </border>
    <border>
      <left style="medium">
        <color rgb="FF00ACA2"/>
      </left>
      <right style="thin">
        <color indexed="9"/>
      </right>
      <top style="medium">
        <color rgb="FF00ACA2"/>
      </top>
      <bottom style="thin">
        <color indexed="9"/>
      </bottom>
      <diagonal/>
    </border>
    <border>
      <left style="thin">
        <color indexed="9"/>
      </left>
      <right style="thin">
        <color indexed="9"/>
      </right>
      <top style="medium">
        <color rgb="FF00ACA2"/>
      </top>
      <bottom style="thin">
        <color indexed="9"/>
      </bottom>
      <diagonal/>
    </border>
    <border>
      <left/>
      <right style="thin">
        <color indexed="9"/>
      </right>
      <top style="medium">
        <color rgb="FF00ACA2"/>
      </top>
      <bottom style="thin">
        <color indexed="9"/>
      </bottom>
      <diagonal/>
    </border>
    <border>
      <left style="thin">
        <color indexed="9"/>
      </left>
      <right style="medium">
        <color rgb="FF00ACA2"/>
      </right>
      <top style="medium">
        <color rgb="FF00ACA2"/>
      </top>
      <bottom style="thin">
        <color indexed="9"/>
      </bottom>
      <diagonal/>
    </border>
    <border>
      <left style="dashDotDot">
        <color rgb="FF00ACA2"/>
      </left>
      <right style="thin">
        <color indexed="9"/>
      </right>
      <top style="dashDotDot">
        <color rgb="FF00ACA2"/>
      </top>
      <bottom style="dashDotDot">
        <color rgb="FF00ACA2"/>
      </bottom>
      <diagonal/>
    </border>
    <border>
      <left style="thin">
        <color indexed="9"/>
      </left>
      <right style="thin">
        <color indexed="9"/>
      </right>
      <top style="dashDotDot">
        <color rgb="FF00ACA2"/>
      </top>
      <bottom style="dashDotDot">
        <color rgb="FF00ACA2"/>
      </bottom>
      <diagonal/>
    </border>
    <border>
      <left style="thin">
        <color indexed="9"/>
      </left>
      <right style="dashDotDot">
        <color rgb="FF00ACA2"/>
      </right>
      <top style="dashDotDot">
        <color rgb="FF00ACA2"/>
      </top>
      <bottom style="dashDotDot">
        <color rgb="FF00ACA2"/>
      </bottom>
      <diagonal/>
    </border>
    <border>
      <left style="dashDotDot">
        <color rgb="FF00ACA2"/>
      </left>
      <right/>
      <top style="dashDotDot">
        <color rgb="FF00ACA2"/>
      </top>
      <bottom style="dashDotDot">
        <color rgb="FF00ACA2"/>
      </bottom>
      <diagonal/>
    </border>
    <border>
      <left/>
      <right/>
      <top style="dashDotDot">
        <color rgb="FF00ACA2"/>
      </top>
      <bottom style="dashDotDot">
        <color rgb="FF00ACA2"/>
      </bottom>
      <diagonal/>
    </border>
    <border>
      <left/>
      <right style="dashDotDot">
        <color rgb="FF00ACA2"/>
      </right>
      <top style="dashDotDot">
        <color rgb="FF00ACA2"/>
      </top>
      <bottom style="dashDotDot">
        <color rgb="FF00ACA2"/>
      </bottom>
      <diagonal/>
    </border>
    <border>
      <left style="medium">
        <color rgb="FF00ACA2"/>
      </left>
      <right style="hair">
        <color indexed="19"/>
      </right>
      <top style="hair">
        <color indexed="19"/>
      </top>
      <bottom style="hair">
        <color indexed="19"/>
      </bottom>
      <diagonal/>
    </border>
    <border>
      <left style="hair">
        <color indexed="19"/>
      </left>
      <right style="medium">
        <color rgb="FF00ACA2"/>
      </right>
      <top style="hair">
        <color indexed="19"/>
      </top>
      <bottom style="hair">
        <color indexed="19"/>
      </bottom>
      <diagonal/>
    </border>
    <border>
      <left style="medium">
        <color rgb="FF00ACA2"/>
      </left>
      <right style="hair">
        <color indexed="19"/>
      </right>
      <top style="hair">
        <color indexed="19"/>
      </top>
      <bottom style="medium">
        <color rgb="FF00ACA2"/>
      </bottom>
      <diagonal/>
    </border>
    <border>
      <left style="hair">
        <color indexed="19"/>
      </left>
      <right style="hair">
        <color indexed="19"/>
      </right>
      <top style="hair">
        <color indexed="19"/>
      </top>
      <bottom style="medium">
        <color rgb="FF00ACA2"/>
      </bottom>
      <diagonal/>
    </border>
    <border>
      <left style="hair">
        <color indexed="19"/>
      </left>
      <right style="medium">
        <color rgb="FF00ACA2"/>
      </right>
      <top style="hair">
        <color indexed="19"/>
      </top>
      <bottom style="medium">
        <color rgb="FF00ACA2"/>
      </bottom>
      <diagonal/>
    </border>
    <border>
      <left style="medium">
        <color rgb="FF00ACA2"/>
      </left>
      <right style="hair">
        <color indexed="19"/>
      </right>
      <top/>
      <bottom style="hair">
        <color indexed="19"/>
      </bottom>
      <diagonal/>
    </border>
    <border>
      <left style="hair">
        <color indexed="19"/>
      </left>
      <right style="hair">
        <color indexed="19"/>
      </right>
      <top/>
      <bottom/>
      <diagonal/>
    </border>
    <border>
      <left style="hair">
        <color indexed="19"/>
      </left>
      <right style="medium">
        <color rgb="FF00ACA2"/>
      </right>
      <top/>
      <bottom/>
      <diagonal/>
    </border>
    <border>
      <left style="medium">
        <color rgb="FF00ACA2"/>
      </left>
      <right style="thin">
        <color theme="0"/>
      </right>
      <top style="medium">
        <color rgb="FF00ACA2"/>
      </top>
      <bottom style="medium">
        <color rgb="FF00ACA2"/>
      </bottom>
      <diagonal/>
    </border>
    <border>
      <left style="thin">
        <color theme="0"/>
      </left>
      <right style="thin">
        <color theme="0"/>
      </right>
      <top style="medium">
        <color rgb="FF00ACA2"/>
      </top>
      <bottom style="medium">
        <color rgb="FF00ACA2"/>
      </bottom>
      <diagonal/>
    </border>
    <border>
      <left/>
      <right style="medium">
        <color rgb="FF00ACA2"/>
      </right>
      <top style="medium">
        <color rgb="FF00ACA2"/>
      </top>
      <bottom style="medium">
        <color rgb="FF00ACA2"/>
      </bottom>
      <diagonal/>
    </border>
    <border>
      <left style="thin">
        <color indexed="64"/>
      </left>
      <right/>
      <top/>
      <bottom style="medium">
        <color rgb="FF00ACA2"/>
      </bottom>
      <diagonal/>
    </border>
    <border>
      <left style="thin">
        <color indexed="64"/>
      </left>
      <right/>
      <top/>
      <bottom/>
      <diagonal/>
    </border>
  </borders>
  <cellStyleXfs count="67">
    <xf numFmtId="0" fontId="0" fillId="0" borderId="0"/>
    <xf numFmtId="49" fontId="5" fillId="0" borderId="1" applyNumberFormat="0" applyFont="0" applyFill="0" applyBorder="0" applyProtection="0">
      <alignment horizontal="left" vertical="center" indent="2"/>
    </xf>
    <xf numFmtId="49" fontId="5" fillId="0" borderId="2" applyNumberFormat="0" applyFont="0" applyFill="0" applyBorder="0" applyProtection="0">
      <alignment horizontal="left" vertical="center" indent="5"/>
    </xf>
    <xf numFmtId="4" fontId="6" fillId="0" borderId="3" applyFill="0" applyBorder="0" applyProtection="0">
      <alignment horizontal="right" vertical="center"/>
    </xf>
    <xf numFmtId="0" fontId="7" fillId="0" borderId="0">
      <alignment horizontal="center" vertical="center" wrapText="1"/>
    </xf>
    <xf numFmtId="3" fontId="1" fillId="0" borderId="0" applyFont="0" applyFill="0" applyBorder="0" applyAlignment="0" applyProtection="0"/>
    <xf numFmtId="0" fontId="8" fillId="0" borderId="0">
      <alignment horizontal="left" vertical="center" wrapText="1"/>
    </xf>
    <xf numFmtId="166" fontId="1" fillId="0" borderId="0" applyFont="0" applyFill="0" applyBorder="0" applyAlignment="0" applyProtection="0"/>
    <xf numFmtId="3" fontId="9" fillId="0" borderId="4" applyAlignment="0">
      <alignment horizontal="right" vertical="center"/>
    </xf>
    <xf numFmtId="169" fontId="9" fillId="0" borderId="4">
      <alignment horizontal="right" vertical="center"/>
    </xf>
    <xf numFmtId="49" fontId="10" fillId="0" borderId="4">
      <alignment horizontal="left" vertical="center"/>
    </xf>
    <xf numFmtId="167" fontId="11" fillId="0" borderId="4" applyNumberFormat="0" applyFill="0">
      <alignment horizontal="right"/>
    </xf>
    <xf numFmtId="168" fontId="11" fillId="0" borderId="4">
      <alignment horizontal="right"/>
    </xf>
    <xf numFmtId="0" fontId="1" fillId="0" borderId="0" applyFont="0" applyFill="0" applyBorder="0" applyAlignment="0" applyProtection="0"/>
    <xf numFmtId="2" fontId="1" fillId="0" borderId="0" applyFon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4">
      <alignment horizontal="left"/>
    </xf>
    <xf numFmtId="0" fontId="15" fillId="0" borderId="5">
      <alignment horizontal="right" vertical="center"/>
    </xf>
    <xf numFmtId="0" fontId="16" fillId="0" borderId="4">
      <alignment horizontal="left" vertical="center"/>
    </xf>
    <xf numFmtId="0" fontId="11" fillId="0" borderId="4">
      <alignment horizontal="left" vertical="center"/>
    </xf>
    <xf numFmtId="0" fontId="17" fillId="0" borderId="4">
      <alignment horizontal="left"/>
    </xf>
    <xf numFmtId="0" fontId="17" fillId="2" borderId="0">
      <alignment horizontal="centerContinuous" wrapText="1"/>
    </xf>
    <xf numFmtId="49" fontId="17" fillId="2" borderId="6">
      <alignment horizontal="left" vertical="center"/>
    </xf>
    <xf numFmtId="0" fontId="17" fillId="2" borderId="0">
      <alignment horizontal="centerContinuous" vertical="center" wrapText="1"/>
    </xf>
    <xf numFmtId="0" fontId="2" fillId="0" borderId="0" applyNumberFormat="0" applyFill="0" applyBorder="0" applyAlignment="0" applyProtection="0">
      <alignment vertical="top"/>
      <protection locked="0"/>
    </xf>
    <xf numFmtId="41" fontId="18" fillId="0" borderId="0" applyFont="0" applyFill="0" applyBorder="0" applyAlignment="0" applyProtection="0"/>
    <xf numFmtId="43" fontId="18" fillId="0" borderId="0" applyFont="0" applyFill="0" applyBorder="0" applyAlignment="0" applyProtection="0"/>
    <xf numFmtId="9" fontId="18" fillId="0" borderId="0" applyFont="0" applyFill="0" applyBorder="0" applyAlignment="0" applyProtection="0"/>
    <xf numFmtId="44" fontId="18" fillId="0" borderId="0" applyFont="0" applyFill="0" applyBorder="0" applyAlignment="0" applyProtection="0"/>
    <xf numFmtId="4" fontId="5" fillId="0" borderId="1" applyFill="0" applyBorder="0" applyProtection="0">
      <alignment horizontal="right" vertical="center"/>
    </xf>
    <xf numFmtId="49" fontId="6" fillId="0" borderId="1" applyNumberFormat="0" applyFill="0" applyBorder="0" applyProtection="0">
      <alignment horizontal="left" vertical="center"/>
    </xf>
    <xf numFmtId="0" fontId="5" fillId="0" borderId="1" applyNumberFormat="0" applyFill="0" applyAlignment="0" applyProtection="0"/>
    <xf numFmtId="0" fontId="19" fillId="3" borderId="0" applyNumberFormat="0" applyFont="0" applyBorder="0" applyAlignment="0" applyProtection="0"/>
    <xf numFmtId="165" fontId="5" fillId="4" borderId="1" applyNumberFormat="0" applyFont="0" applyBorder="0" applyAlignment="0" applyProtection="0">
      <alignment horizontal="right" vertical="center"/>
    </xf>
    <xf numFmtId="3" fontId="9" fillId="0" borderId="0">
      <alignment horizontal="left" vertical="center"/>
    </xf>
    <xf numFmtId="0" fontId="7" fillId="0" borderId="0">
      <alignment horizontal="left" vertical="center"/>
    </xf>
    <xf numFmtId="0" fontId="19" fillId="0" borderId="0">
      <alignment horizontal="right"/>
    </xf>
    <xf numFmtId="49" fontId="19" fillId="0" borderId="0">
      <alignment horizontal="center"/>
    </xf>
    <xf numFmtId="0" fontId="10" fillId="0" borderId="0">
      <alignment horizontal="right"/>
    </xf>
    <xf numFmtId="0" fontId="19" fillId="0" borderId="0">
      <alignment horizontal="left"/>
    </xf>
    <xf numFmtId="0" fontId="5" fillId="0" borderId="0"/>
    <xf numFmtId="49" fontId="9" fillId="0" borderId="0">
      <alignment horizontal="left" vertical="center"/>
    </xf>
    <xf numFmtId="49" fontId="10" fillId="0" borderId="4">
      <alignment horizontal="left" vertical="center"/>
    </xf>
    <xf numFmtId="49" fontId="7" fillId="0" borderId="4" applyFill="0">
      <alignment horizontal="left" vertical="center"/>
    </xf>
    <xf numFmtId="49" fontId="10" fillId="0" borderId="4">
      <alignment horizontal="left"/>
    </xf>
    <xf numFmtId="167" fontId="9" fillId="0" borderId="0" applyNumberFormat="0">
      <alignment horizontal="right"/>
    </xf>
    <xf numFmtId="0" fontId="15" fillId="5" borderId="0">
      <alignment horizontal="centerContinuous" vertical="center" wrapText="1"/>
    </xf>
    <xf numFmtId="0" fontId="15" fillId="0" borderId="7">
      <alignment horizontal="left" vertical="center"/>
    </xf>
    <xf numFmtId="0" fontId="20" fillId="0" borderId="0">
      <alignment horizontal="left" vertical="top"/>
    </xf>
    <xf numFmtId="0" fontId="17" fillId="0" borderId="0">
      <alignment horizontal="left"/>
    </xf>
    <xf numFmtId="0" fontId="8" fillId="0" borderId="0">
      <alignment horizontal="left"/>
    </xf>
    <xf numFmtId="0" fontId="11" fillId="0" borderId="0">
      <alignment horizontal="left"/>
    </xf>
    <xf numFmtId="0" fontId="20" fillId="0" borderId="0">
      <alignment horizontal="left" vertical="top"/>
    </xf>
    <xf numFmtId="0" fontId="8" fillId="0" borderId="0">
      <alignment horizontal="left"/>
    </xf>
    <xf numFmtId="0" fontId="11" fillId="0" borderId="0">
      <alignment horizontal="left"/>
    </xf>
    <xf numFmtId="0" fontId="1" fillId="0" borderId="8" applyNumberFormat="0" applyFont="0" applyFill="0" applyAlignment="0" applyProtection="0"/>
    <xf numFmtId="49" fontId="9" fillId="0" borderId="4">
      <alignment horizontal="left"/>
    </xf>
    <xf numFmtId="0" fontId="15" fillId="0" borderId="5">
      <alignment horizontal="left"/>
    </xf>
    <xf numFmtId="0" fontId="17" fillId="0" borderId="0">
      <alignment horizontal="left" vertical="center"/>
    </xf>
    <xf numFmtId="49" fontId="19" fillId="0" borderId="4">
      <alignment horizontal="left"/>
    </xf>
    <xf numFmtId="0" fontId="5" fillId="0" borderId="0"/>
    <xf numFmtId="0" fontId="1" fillId="0" borderId="0"/>
    <xf numFmtId="0" fontId="42" fillId="0" borderId="0"/>
    <xf numFmtId="43" fontId="45" fillId="0" borderId="0" applyFont="0" applyFill="0" applyBorder="0" applyAlignment="0" applyProtection="0"/>
    <xf numFmtId="0" fontId="85" fillId="0" borderId="0" applyNumberFormat="0" applyFill="0" applyBorder="0" applyAlignment="0" applyProtection="0"/>
  </cellStyleXfs>
  <cellXfs count="769">
    <xf numFmtId="0" fontId="0" fillId="0" borderId="0" xfId="0"/>
    <xf numFmtId="0" fontId="0" fillId="6" borderId="0" xfId="0" applyFill="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7" borderId="0" xfId="0" applyFill="1"/>
    <xf numFmtId="0" fontId="0" fillId="0" borderId="16" xfId="0" applyBorder="1"/>
    <xf numFmtId="0" fontId="0" fillId="0" borderId="0" xfId="0" applyAlignment="1">
      <alignment wrapText="1"/>
    </xf>
    <xf numFmtId="0" fontId="0" fillId="0" borderId="17" xfId="0" applyBorder="1"/>
    <xf numFmtId="0" fontId="0" fillId="0" borderId="18" xfId="0" applyBorder="1"/>
    <xf numFmtId="0" fontId="0" fillId="0" borderId="19" xfId="0" applyBorder="1"/>
    <xf numFmtId="0" fontId="0" fillId="0" borderId="20" xfId="0" applyBorder="1"/>
    <xf numFmtId="0" fontId="0" fillId="7" borderId="21" xfId="0" applyFill="1" applyBorder="1"/>
    <xf numFmtId="0" fontId="21" fillId="7" borderId="19" xfId="0" applyFont="1" applyFill="1" applyBorder="1"/>
    <xf numFmtId="0" fontId="0" fillId="0" borderId="22" xfId="0" applyBorder="1"/>
    <xf numFmtId="0" fontId="0" fillId="0" borderId="23" xfId="0" applyBorder="1"/>
    <xf numFmtId="0" fontId="0" fillId="0" borderId="21" xfId="0" applyBorder="1"/>
    <xf numFmtId="0" fontId="0" fillId="0" borderId="24" xfId="0" applyBorder="1"/>
    <xf numFmtId="0" fontId="0" fillId="0" borderId="25" xfId="0" applyBorder="1"/>
    <xf numFmtId="0" fontId="0" fillId="0" borderId="26" xfId="0" applyBorder="1"/>
    <xf numFmtId="0" fontId="25" fillId="0" borderId="0" xfId="0" applyFont="1"/>
    <xf numFmtId="0" fontId="25" fillId="0" borderId="9" xfId="0" applyFont="1" applyBorder="1"/>
    <xf numFmtId="0" fontId="25" fillId="0" borderId="10" xfId="0" applyFont="1" applyBorder="1"/>
    <xf numFmtId="0" fontId="25" fillId="0" borderId="11" xfId="0" applyFont="1" applyBorder="1"/>
    <xf numFmtId="0" fontId="25" fillId="0" borderId="13" xfId="0" applyFont="1" applyBorder="1"/>
    <xf numFmtId="0" fontId="1" fillId="0" borderId="0" xfId="0" applyFont="1"/>
    <xf numFmtId="0" fontId="0" fillId="8" borderId="14" xfId="0" applyFill="1" applyBorder="1"/>
    <xf numFmtId="0" fontId="1" fillId="0" borderId="9" xfId="0" applyFont="1" applyBorder="1"/>
    <xf numFmtId="0" fontId="1" fillId="0" borderId="10" xfId="0" applyFont="1" applyBorder="1"/>
    <xf numFmtId="0" fontId="0" fillId="8" borderId="23" xfId="0" applyFill="1" applyBorder="1"/>
    <xf numFmtId="0" fontId="0" fillId="8" borderId="20" xfId="0" applyFill="1" applyBorder="1"/>
    <xf numFmtId="0" fontId="25" fillId="0" borderId="12" xfId="0" applyFont="1" applyBorder="1"/>
    <xf numFmtId="0" fontId="0" fillId="8" borderId="15" xfId="0" applyFill="1" applyBorder="1"/>
    <xf numFmtId="0" fontId="0" fillId="8" borderId="22" xfId="0" applyFill="1" applyBorder="1" applyAlignment="1">
      <alignment wrapText="1"/>
    </xf>
    <xf numFmtId="0" fontId="0" fillId="8" borderId="21" xfId="0" applyFill="1" applyBorder="1"/>
    <xf numFmtId="0" fontId="0" fillId="8" borderId="19" xfId="0" applyFill="1" applyBorder="1" applyAlignment="1">
      <alignment wrapText="1"/>
    </xf>
    <xf numFmtId="0" fontId="0" fillId="8" borderId="16" xfId="0" applyFill="1" applyBorder="1" applyAlignment="1">
      <alignment wrapText="1"/>
    </xf>
    <xf numFmtId="0" fontId="25" fillId="0" borderId="17" xfId="0" applyFont="1" applyBorder="1"/>
    <xf numFmtId="0" fontId="0" fillId="8" borderId="16" xfId="0" applyFill="1" applyBorder="1"/>
    <xf numFmtId="0" fontId="25" fillId="8" borderId="20" xfId="0" applyFont="1" applyFill="1" applyBorder="1"/>
    <xf numFmtId="0" fontId="25" fillId="8" borderId="19" xfId="0" applyFont="1" applyFill="1" applyBorder="1"/>
    <xf numFmtId="0" fontId="0" fillId="8" borderId="22" xfId="0" applyFill="1" applyBorder="1"/>
    <xf numFmtId="0" fontId="25" fillId="0" borderId="14" xfId="0" applyFont="1" applyBorder="1"/>
    <xf numFmtId="0" fontId="21" fillId="0" borderId="0" xfId="0" applyFont="1"/>
    <xf numFmtId="0" fontId="0" fillId="7" borderId="13" xfId="0" applyFill="1" applyBorder="1"/>
    <xf numFmtId="0" fontId="28" fillId="0" borderId="0" xfId="0" applyFont="1"/>
    <xf numFmtId="0" fontId="21" fillId="0" borderId="0" xfId="0" applyFont="1" applyAlignment="1">
      <alignment horizontal="center" wrapText="1"/>
    </xf>
    <xf numFmtId="0" fontId="0" fillId="8" borderId="23" xfId="0" applyFill="1" applyBorder="1" applyAlignment="1">
      <alignment wrapText="1"/>
    </xf>
    <xf numFmtId="0" fontId="4" fillId="0" borderId="0" xfId="0" applyFont="1"/>
    <xf numFmtId="0" fontId="0" fillId="10" borderId="12" xfId="0" applyFill="1" applyBorder="1"/>
    <xf numFmtId="0" fontId="0" fillId="10" borderId="11" xfId="0" applyFill="1" applyBorder="1"/>
    <xf numFmtId="0" fontId="0" fillId="7" borderId="18" xfId="0" applyFill="1" applyBorder="1"/>
    <xf numFmtId="0" fontId="0" fillId="10" borderId="13" xfId="0" applyFill="1" applyBorder="1"/>
    <xf numFmtId="0" fontId="0" fillId="10" borderId="0" xfId="0" applyFill="1"/>
    <xf numFmtId="0" fontId="25" fillId="0" borderId="20" xfId="0" applyFont="1" applyBorder="1"/>
    <xf numFmtId="0" fontId="25" fillId="0" borderId="18" xfId="0" applyFont="1" applyBorder="1"/>
    <xf numFmtId="0" fontId="25" fillId="0" borderId="19" xfId="0" applyFont="1" applyBorder="1"/>
    <xf numFmtId="0" fontId="13" fillId="8" borderId="16" xfId="0" applyFont="1" applyFill="1" applyBorder="1"/>
    <xf numFmtId="0" fontId="13" fillId="0" borderId="0" xfId="0" applyFont="1"/>
    <xf numFmtId="0" fontId="0" fillId="0" borderId="27" xfId="0" applyBorder="1"/>
    <xf numFmtId="0" fontId="25" fillId="0" borderId="15" xfId="0" applyFont="1" applyBorder="1"/>
    <xf numFmtId="0" fontId="25" fillId="0" borderId="22" xfId="0" applyFont="1" applyBorder="1"/>
    <xf numFmtId="0" fontId="0" fillId="8" borderId="19" xfId="0" applyFill="1" applyBorder="1"/>
    <xf numFmtId="0" fontId="0" fillId="0" borderId="28" xfId="0" applyBorder="1"/>
    <xf numFmtId="0" fontId="30" fillId="0" borderId="0" xfId="0" applyFont="1"/>
    <xf numFmtId="0" fontId="25" fillId="0" borderId="16" xfId="0" applyFont="1" applyBorder="1"/>
    <xf numFmtId="0" fontId="25" fillId="8" borderId="16" xfId="0" applyFont="1" applyFill="1" applyBorder="1"/>
    <xf numFmtId="0" fontId="30" fillId="0" borderId="22" xfId="0" applyFont="1" applyBorder="1"/>
    <xf numFmtId="0" fontId="30" fillId="0" borderId="10" xfId="0" applyFont="1" applyBorder="1"/>
    <xf numFmtId="0" fontId="30" fillId="0" borderId="13" xfId="0" applyFont="1" applyBorder="1"/>
    <xf numFmtId="0" fontId="24" fillId="7" borderId="20" xfId="0" applyFont="1" applyFill="1" applyBorder="1"/>
    <xf numFmtId="0" fontId="24" fillId="7" borderId="16" xfId="0" applyFont="1" applyFill="1" applyBorder="1"/>
    <xf numFmtId="0" fontId="25" fillId="7" borderId="20" xfId="0" applyFont="1" applyFill="1" applyBorder="1"/>
    <xf numFmtId="0" fontId="25" fillId="7" borderId="21" xfId="0" applyFont="1" applyFill="1" applyBorder="1"/>
    <xf numFmtId="0" fontId="30" fillId="7" borderId="19" xfId="0" applyFont="1" applyFill="1" applyBorder="1" applyAlignment="1">
      <alignment wrapText="1"/>
    </xf>
    <xf numFmtId="0" fontId="25" fillId="7" borderId="19" xfId="0" applyFont="1" applyFill="1" applyBorder="1"/>
    <xf numFmtId="0" fontId="26" fillId="7" borderId="20" xfId="0" applyFont="1" applyFill="1" applyBorder="1"/>
    <xf numFmtId="0" fontId="26" fillId="7" borderId="21" xfId="0" applyFont="1" applyFill="1" applyBorder="1"/>
    <xf numFmtId="0" fontId="26" fillId="7" borderId="19" xfId="0" applyFont="1" applyFill="1" applyBorder="1"/>
    <xf numFmtId="0" fontId="25" fillId="0" borderId="24" xfId="0" applyFont="1" applyBorder="1"/>
    <xf numFmtId="0" fontId="25" fillId="0" borderId="23" xfId="0" applyFont="1" applyBorder="1"/>
    <xf numFmtId="0" fontId="13" fillId="7" borderId="20" xfId="0" applyFont="1" applyFill="1" applyBorder="1"/>
    <xf numFmtId="0" fontId="13" fillId="7" borderId="16" xfId="0" applyFont="1" applyFill="1" applyBorder="1"/>
    <xf numFmtId="0" fontId="13" fillId="7" borderId="19" xfId="0" applyFont="1" applyFill="1" applyBorder="1"/>
    <xf numFmtId="0" fontId="4" fillId="6" borderId="12" xfId="0" applyFont="1" applyFill="1" applyBorder="1"/>
    <xf numFmtId="0" fontId="4" fillId="0" borderId="21" xfId="0" applyFont="1" applyBorder="1"/>
    <xf numFmtId="0" fontId="32" fillId="0" borderId="0" xfId="0" applyFont="1"/>
    <xf numFmtId="0" fontId="33" fillId="0" borderId="0" xfId="0" applyFont="1"/>
    <xf numFmtId="0" fontId="0" fillId="7" borderId="12" xfId="0" applyFill="1" applyBorder="1"/>
    <xf numFmtId="0" fontId="0" fillId="0" borderId="30" xfId="0" applyBorder="1"/>
    <xf numFmtId="0" fontId="4" fillId="7" borderId="30" xfId="0" applyFont="1" applyFill="1" applyBorder="1"/>
    <xf numFmtId="0" fontId="0" fillId="7" borderId="31" xfId="0" applyFill="1" applyBorder="1"/>
    <xf numFmtId="0" fontId="0" fillId="10" borderId="32" xfId="0" applyFill="1" applyBorder="1"/>
    <xf numFmtId="0" fontId="25" fillId="0" borderId="0" xfId="0" quotePrefix="1" applyFont="1"/>
    <xf numFmtId="0" fontId="30" fillId="0" borderId="23" xfId="0" applyFont="1" applyBorder="1"/>
    <xf numFmtId="0" fontId="30" fillId="0" borderId="18" xfId="0" applyFont="1" applyBorder="1"/>
    <xf numFmtId="0" fontId="0" fillId="0" borderId="33" xfId="0" applyBorder="1"/>
    <xf numFmtId="0" fontId="25" fillId="0" borderId="25" xfId="0" applyFont="1" applyBorder="1"/>
    <xf numFmtId="0" fontId="25" fillId="0" borderId="33" xfId="0" applyFont="1" applyBorder="1"/>
    <xf numFmtId="0" fontId="41" fillId="0" borderId="40" xfId="63" applyFont="1" applyBorder="1" applyAlignment="1">
      <alignment horizontal="left" vertical="top"/>
    </xf>
    <xf numFmtId="170" fontId="1" fillId="0" borderId="42" xfId="63" applyNumberFormat="1" applyBorder="1" applyAlignment="1">
      <alignment vertical="center"/>
    </xf>
    <xf numFmtId="0" fontId="1" fillId="0" borderId="42" xfId="63" applyBorder="1" applyAlignment="1">
      <alignment vertical="center"/>
    </xf>
    <xf numFmtId="0" fontId="38" fillId="0" borderId="24" xfId="0" applyFont="1" applyBorder="1" applyAlignment="1">
      <alignment horizontal="right" vertical="top"/>
    </xf>
    <xf numFmtId="0" fontId="35" fillId="0" borderId="25" xfId="0" applyFont="1" applyBorder="1"/>
    <xf numFmtId="0" fontId="0" fillId="0" borderId="36" xfId="0" applyBorder="1"/>
    <xf numFmtId="0" fontId="0" fillId="0" borderId="24" xfId="0" applyBorder="1" applyAlignment="1">
      <alignment vertical="top" wrapText="1"/>
    </xf>
    <xf numFmtId="0" fontId="25" fillId="0" borderId="24" xfId="0" applyFont="1" applyBorder="1" applyAlignment="1">
      <alignment vertical="top"/>
    </xf>
    <xf numFmtId="0" fontId="25" fillId="0" borderId="24" xfId="0" applyFont="1" applyBorder="1" applyAlignment="1">
      <alignment vertical="top" wrapText="1"/>
    </xf>
    <xf numFmtId="0" fontId="25" fillId="0" borderId="26" xfId="0" applyFont="1" applyBorder="1" applyAlignment="1">
      <alignment vertical="top" wrapText="1"/>
    </xf>
    <xf numFmtId="0" fontId="38" fillId="0" borderId="24" xfId="0" applyFont="1" applyBorder="1" applyAlignment="1">
      <alignment horizontal="right"/>
    </xf>
    <xf numFmtId="0" fontId="34" fillId="0" borderId="24" xfId="0" applyFont="1" applyBorder="1" applyAlignment="1">
      <alignment horizontal="right" vertical="top"/>
    </xf>
    <xf numFmtId="0" fontId="21" fillId="7" borderId="20" xfId="0" applyFont="1" applyFill="1" applyBorder="1"/>
    <xf numFmtId="0" fontId="21" fillId="7" borderId="21" xfId="0" applyFont="1" applyFill="1" applyBorder="1"/>
    <xf numFmtId="0" fontId="25" fillId="0" borderId="0" xfId="0" applyFont="1" applyAlignment="1">
      <alignment wrapText="1"/>
    </xf>
    <xf numFmtId="0" fontId="0" fillId="0" borderId="0" xfId="0" applyAlignment="1">
      <alignment horizontal="center"/>
    </xf>
    <xf numFmtId="0" fontId="0" fillId="0" borderId="17" xfId="0" applyBorder="1" applyAlignment="1">
      <alignment vertical="center"/>
    </xf>
    <xf numFmtId="0" fontId="0" fillId="0" borderId="18" xfId="0" applyBorder="1" applyAlignment="1">
      <alignment vertical="center"/>
    </xf>
    <xf numFmtId="0" fontId="0" fillId="0" borderId="46" xfId="0" applyBorder="1"/>
    <xf numFmtId="0" fontId="0" fillId="0" borderId="47" xfId="0" applyBorder="1"/>
    <xf numFmtId="0" fontId="0" fillId="0" borderId="48" xfId="0" applyBorder="1"/>
    <xf numFmtId="0" fontId="21" fillId="0" borderId="0" xfId="0" applyFont="1" applyAlignment="1">
      <alignment vertical="center"/>
    </xf>
    <xf numFmtId="0" fontId="46" fillId="0" borderId="0" xfId="0" applyFont="1" applyAlignment="1">
      <alignment vertical="center"/>
    </xf>
    <xf numFmtId="0" fontId="0" fillId="8" borderId="16" xfId="0" applyFill="1" applyBorder="1" applyAlignment="1">
      <alignment horizontal="left" vertical="center" wrapText="1"/>
    </xf>
    <xf numFmtId="0" fontId="0" fillId="8" borderId="19" xfId="0" applyFill="1" applyBorder="1" applyAlignment="1">
      <alignment horizontal="left" vertical="center" wrapText="1"/>
    </xf>
    <xf numFmtId="0" fontId="0" fillId="8" borderId="20" xfId="0" applyFill="1" applyBorder="1" applyAlignment="1">
      <alignment horizontal="left" vertical="center" wrapText="1"/>
    </xf>
    <xf numFmtId="0" fontId="0" fillId="8" borderId="21" xfId="0" applyFill="1" applyBorder="1" applyAlignment="1">
      <alignment horizontal="left" vertical="center" wrapText="1"/>
    </xf>
    <xf numFmtId="0" fontId="30" fillId="0" borderId="9" xfId="0" applyFont="1" applyBorder="1"/>
    <xf numFmtId="0" fontId="30" fillId="0" borderId="11" xfId="0" applyFont="1" applyBorder="1"/>
    <xf numFmtId="0" fontId="0" fillId="0" borderId="0" xfId="0" applyAlignment="1">
      <alignment vertical="center"/>
    </xf>
    <xf numFmtId="0" fontId="25" fillId="0" borderId="0" xfId="0" applyFont="1" applyAlignment="1">
      <alignment vertical="center"/>
    </xf>
    <xf numFmtId="0" fontId="0" fillId="0" borderId="0" xfId="0" applyAlignment="1">
      <alignment horizontal="center" vertical="center" wrapText="1"/>
    </xf>
    <xf numFmtId="0" fontId="0" fillId="0" borderId="0" xfId="0" applyAlignment="1">
      <alignment horizontal="center" vertical="center"/>
    </xf>
    <xf numFmtId="43" fontId="0" fillId="0" borderId="0" xfId="65" applyFont="1"/>
    <xf numFmtId="0" fontId="21" fillId="7" borderId="15" xfId="0" applyFont="1" applyFill="1" applyBorder="1" applyAlignment="1">
      <alignment horizontal="center" vertical="center" wrapText="1"/>
    </xf>
    <xf numFmtId="0" fontId="21" fillId="7" borderId="23" xfId="0" applyFont="1" applyFill="1" applyBorder="1" applyAlignment="1">
      <alignment horizontal="center" vertical="center"/>
    </xf>
    <xf numFmtId="0" fontId="21" fillId="7" borderId="12" xfId="0" applyFont="1" applyFill="1" applyBorder="1" applyAlignment="1">
      <alignment horizontal="center" vertical="center"/>
    </xf>
    <xf numFmtId="0" fontId="25" fillId="7" borderId="15" xfId="0" applyFont="1" applyFill="1" applyBorder="1"/>
    <xf numFmtId="0" fontId="43" fillId="0" borderId="10" xfId="0" applyFont="1" applyBorder="1"/>
    <xf numFmtId="0" fontId="50" fillId="0" borderId="10" xfId="0" applyFont="1" applyBorder="1"/>
    <xf numFmtId="0" fontId="50" fillId="0" borderId="13" xfId="0" applyFont="1" applyBorder="1"/>
    <xf numFmtId="0" fontId="30" fillId="0" borderId="17" xfId="0" applyFont="1" applyBorder="1"/>
    <xf numFmtId="0" fontId="43" fillId="0" borderId="9" xfId="0" applyFont="1" applyBorder="1"/>
    <xf numFmtId="0" fontId="25" fillId="7" borderId="21" xfId="0" applyFont="1" applyFill="1" applyBorder="1" applyAlignment="1">
      <alignment vertical="center"/>
    </xf>
    <xf numFmtId="0" fontId="40" fillId="0" borderId="22" xfId="0" applyFont="1" applyBorder="1" applyAlignment="1">
      <alignment vertical="center"/>
    </xf>
    <xf numFmtId="0" fontId="40" fillId="0" borderId="13" xfId="0" applyFont="1" applyBorder="1" applyAlignment="1">
      <alignment vertical="center"/>
    </xf>
    <xf numFmtId="0" fontId="28" fillId="0" borderId="0" xfId="0" applyFont="1" applyAlignment="1">
      <alignment vertical="center"/>
    </xf>
    <xf numFmtId="0" fontId="0" fillId="0" borderId="23" xfId="0" applyBorder="1" applyAlignment="1">
      <alignment vertical="center"/>
    </xf>
    <xf numFmtId="0" fontId="0" fillId="0" borderId="10" xfId="0"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21" fillId="7" borderId="16" xfId="0" applyFont="1" applyFill="1" applyBorder="1" applyAlignment="1">
      <alignment vertical="center"/>
    </xf>
    <xf numFmtId="0" fontId="0" fillId="0" borderId="16" xfId="0" applyBorder="1" applyAlignment="1">
      <alignment vertical="center"/>
    </xf>
    <xf numFmtId="0" fontId="21" fillId="7" borderId="23" xfId="0" applyFont="1" applyFill="1" applyBorder="1" applyAlignment="1">
      <alignment vertical="center"/>
    </xf>
    <xf numFmtId="0" fontId="0" fillId="0" borderId="22" xfId="0" applyBorder="1" applyAlignment="1">
      <alignment vertical="center"/>
    </xf>
    <xf numFmtId="0" fontId="0" fillId="7" borderId="20" xfId="0" applyFill="1" applyBorder="1" applyAlignment="1">
      <alignment vertical="center"/>
    </xf>
    <xf numFmtId="0" fontId="0" fillId="7" borderId="21" xfId="0" applyFill="1" applyBorder="1" applyAlignment="1">
      <alignment vertical="center"/>
    </xf>
    <xf numFmtId="0" fontId="0" fillId="0" borderId="9" xfId="0" applyBorder="1" applyAlignment="1">
      <alignment vertical="center"/>
    </xf>
    <xf numFmtId="0" fontId="0" fillId="0" borderId="11" xfId="0"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7" borderId="14" xfId="0" applyFill="1" applyBorder="1" applyAlignment="1">
      <alignment vertical="center"/>
    </xf>
    <xf numFmtId="0" fontId="0" fillId="7" borderId="15" xfId="0" applyFill="1" applyBorder="1" applyAlignment="1">
      <alignment vertical="center"/>
    </xf>
    <xf numFmtId="0" fontId="24" fillId="7" borderId="16" xfId="0" applyFont="1" applyFill="1" applyBorder="1" applyAlignment="1">
      <alignment vertical="center"/>
    </xf>
    <xf numFmtId="0" fontId="24" fillId="7" borderId="19" xfId="0" applyFont="1" applyFill="1" applyBorder="1" applyAlignment="1">
      <alignment vertical="center"/>
    </xf>
    <xf numFmtId="0" fontId="21" fillId="7" borderId="14" xfId="0" applyFont="1" applyFill="1" applyBorder="1" applyAlignment="1">
      <alignment vertical="center"/>
    </xf>
    <xf numFmtId="0" fontId="21" fillId="7" borderId="19" xfId="0" applyFont="1" applyFill="1" applyBorder="1" applyAlignment="1">
      <alignment vertical="center"/>
    </xf>
    <xf numFmtId="0" fontId="1" fillId="0" borderId="0" xfId="0" applyFont="1" applyAlignment="1">
      <alignment vertical="center"/>
    </xf>
    <xf numFmtId="0" fontId="21" fillId="7" borderId="20" xfId="0" applyFont="1" applyFill="1" applyBorder="1" applyAlignment="1">
      <alignment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7" borderId="19" xfId="0" applyFill="1" applyBorder="1" applyAlignment="1">
      <alignment horizontal="center" vertical="center"/>
    </xf>
    <xf numFmtId="0" fontId="48" fillId="0" borderId="22" xfId="0" applyFont="1" applyBorder="1" applyAlignment="1">
      <alignment horizontal="center" vertical="center"/>
    </xf>
    <xf numFmtId="0" fontId="48" fillId="0" borderId="13" xfId="0" applyFont="1" applyBorder="1" applyAlignment="1">
      <alignment horizontal="center" vertical="center"/>
    </xf>
    <xf numFmtId="0" fontId="24" fillId="7" borderId="20" xfId="0" applyFont="1" applyFill="1"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24" fillId="7" borderId="16" xfId="0" applyFont="1" applyFill="1" applyBorder="1" applyAlignment="1">
      <alignment horizontal="center" vertical="center"/>
    </xf>
    <xf numFmtId="0" fontId="0" fillId="0" borderId="15" xfId="0" applyBorder="1" applyAlignment="1">
      <alignment horizontal="center" vertical="center"/>
    </xf>
    <xf numFmtId="0" fontId="24" fillId="7" borderId="16" xfId="0" applyFont="1" applyFill="1" applyBorder="1" applyAlignment="1">
      <alignment horizontal="center"/>
    </xf>
    <xf numFmtId="0" fontId="0" fillId="0" borderId="15" xfId="0" applyBorder="1" applyAlignment="1">
      <alignment horizontal="center"/>
    </xf>
    <xf numFmtId="0" fontId="0" fillId="0" borderId="1" xfId="0" applyBorder="1"/>
    <xf numFmtId="0" fontId="0" fillId="0" borderId="49" xfId="0" applyBorder="1"/>
    <xf numFmtId="0" fontId="0" fillId="0" borderId="51" xfId="0" applyBorder="1"/>
    <xf numFmtId="0" fontId="0" fillId="0" borderId="52" xfId="0" applyBorder="1"/>
    <xf numFmtId="0" fontId="0" fillId="0" borderId="2" xfId="0" applyBorder="1"/>
    <xf numFmtId="0" fontId="1" fillId="0" borderId="2" xfId="0" applyFont="1" applyBorder="1"/>
    <xf numFmtId="0" fontId="0" fillId="0" borderId="55" xfId="0" applyBorder="1"/>
    <xf numFmtId="0" fontId="0" fillId="0" borderId="56" xfId="0" applyBorder="1"/>
    <xf numFmtId="0" fontId="0" fillId="0" borderId="57" xfId="0" applyBorder="1"/>
    <xf numFmtId="0" fontId="47" fillId="18" borderId="11" xfId="0" applyFont="1" applyFill="1" applyBorder="1"/>
    <xf numFmtId="0" fontId="47" fillId="18" borderId="12" xfId="0" applyFont="1" applyFill="1" applyBorder="1"/>
    <xf numFmtId="0" fontId="47" fillId="18" borderId="13" xfId="0" applyFont="1" applyFill="1" applyBorder="1"/>
    <xf numFmtId="0" fontId="25" fillId="0" borderId="1" xfId="0" applyFont="1" applyBorder="1"/>
    <xf numFmtId="0" fontId="25" fillId="0" borderId="50" xfId="0" applyFont="1" applyBorder="1"/>
    <xf numFmtId="0" fontId="0" fillId="0" borderId="50" xfId="0" applyBorder="1"/>
    <xf numFmtId="0" fontId="0" fillId="0" borderId="53" xfId="0" applyBorder="1"/>
    <xf numFmtId="0" fontId="0" fillId="0" borderId="54" xfId="0" applyBorder="1"/>
    <xf numFmtId="0" fontId="25" fillId="0" borderId="53" xfId="0" applyFont="1" applyBorder="1"/>
    <xf numFmtId="0" fontId="40" fillId="0" borderId="20" xfId="0" applyFont="1" applyBorder="1"/>
    <xf numFmtId="0" fontId="57" fillId="16" borderId="20" xfId="0" applyFont="1" applyFill="1" applyBorder="1"/>
    <xf numFmtId="0" fontId="57" fillId="16" borderId="21" xfId="0" applyFont="1" applyFill="1" applyBorder="1"/>
    <xf numFmtId="0" fontId="57" fillId="16" borderId="19" xfId="0" applyFont="1" applyFill="1" applyBorder="1"/>
    <xf numFmtId="0" fontId="40" fillId="8" borderId="20" xfId="0" applyFont="1" applyFill="1" applyBorder="1" applyAlignment="1">
      <alignment horizontal="left" vertical="center" wrapText="1"/>
    </xf>
    <xf numFmtId="0" fontId="40" fillId="0" borderId="0" xfId="0" applyFont="1" applyAlignment="1">
      <alignment vertical="center"/>
    </xf>
    <xf numFmtId="0" fontId="40" fillId="8" borderId="16" xfId="0" applyFont="1" applyFill="1" applyBorder="1" applyAlignment="1">
      <alignment vertical="center" wrapText="1"/>
    </xf>
    <xf numFmtId="0" fontId="40" fillId="8" borderId="21" xfId="0" applyFont="1" applyFill="1" applyBorder="1" applyAlignment="1">
      <alignment vertical="center"/>
    </xf>
    <xf numFmtId="0" fontId="40" fillId="8" borderId="16" xfId="0" applyFont="1" applyFill="1" applyBorder="1" applyAlignment="1">
      <alignment vertical="center"/>
    </xf>
    <xf numFmtId="0" fontId="40" fillId="8" borderId="19" xfId="0" applyFont="1" applyFill="1" applyBorder="1" applyAlignment="1">
      <alignment vertical="center" wrapText="1"/>
    </xf>
    <xf numFmtId="0" fontId="40" fillId="0" borderId="52" xfId="0" applyFont="1" applyBorder="1" applyAlignment="1">
      <alignment vertical="center"/>
    </xf>
    <xf numFmtId="0" fontId="40" fillId="0" borderId="53" xfId="0" applyFont="1" applyBorder="1" applyAlignment="1">
      <alignment vertical="center"/>
    </xf>
    <xf numFmtId="0" fontId="40" fillId="0" borderId="54" xfId="0" applyFont="1" applyBorder="1" applyAlignment="1">
      <alignment vertical="center"/>
    </xf>
    <xf numFmtId="0" fontId="40" fillId="0" borderId="2" xfId="0" applyFont="1" applyBorder="1" applyAlignment="1">
      <alignment vertical="center"/>
    </xf>
    <xf numFmtId="0" fontId="40" fillId="0" borderId="1" xfId="0" applyFont="1" applyBorder="1" applyAlignment="1">
      <alignment vertical="center"/>
    </xf>
    <xf numFmtId="0" fontId="40" fillId="0" borderId="49" xfId="0" applyFont="1" applyBorder="1" applyAlignment="1">
      <alignment vertical="center"/>
    </xf>
    <xf numFmtId="0" fontId="40" fillId="0" borderId="55" xfId="0" applyFont="1" applyBorder="1" applyAlignment="1">
      <alignment vertical="center"/>
    </xf>
    <xf numFmtId="0" fontId="40" fillId="0" borderId="50" xfId="0" applyFont="1" applyBorder="1" applyAlignment="1">
      <alignment vertical="center"/>
    </xf>
    <xf numFmtId="0" fontId="40" fillId="0" borderId="51" xfId="0" applyFont="1" applyBorder="1" applyAlignment="1">
      <alignment vertical="center"/>
    </xf>
    <xf numFmtId="0" fontId="40" fillId="0" borderId="20" xfId="0" applyFont="1" applyBorder="1" applyAlignment="1">
      <alignment vertical="center"/>
    </xf>
    <xf numFmtId="0" fontId="40" fillId="0" borderId="21" xfId="0" applyFont="1" applyBorder="1" applyAlignment="1">
      <alignment vertical="center"/>
    </xf>
    <xf numFmtId="0" fontId="40" fillId="0" borderId="19" xfId="0" applyFont="1" applyBorder="1" applyAlignment="1">
      <alignment vertical="center"/>
    </xf>
    <xf numFmtId="0" fontId="40" fillId="8" borderId="20" xfId="0" applyFont="1" applyFill="1" applyBorder="1" applyAlignment="1">
      <alignment vertical="center"/>
    </xf>
    <xf numFmtId="0" fontId="40" fillId="8" borderId="14" xfId="0" applyFont="1" applyFill="1" applyBorder="1" applyAlignment="1">
      <alignment vertical="center"/>
    </xf>
    <xf numFmtId="0" fontId="40" fillId="0" borderId="11" xfId="0" applyFont="1" applyBorder="1" applyAlignment="1">
      <alignment vertical="center"/>
    </xf>
    <xf numFmtId="0" fontId="40" fillId="0" borderId="12" xfId="0" applyFont="1" applyBorder="1" applyAlignment="1">
      <alignment vertical="center"/>
    </xf>
    <xf numFmtId="0" fontId="40" fillId="0" borderId="56" xfId="0" applyFont="1" applyBorder="1" applyAlignment="1">
      <alignment vertical="center"/>
    </xf>
    <xf numFmtId="0" fontId="40" fillId="0" borderId="57" xfId="0" applyFont="1" applyBorder="1" applyAlignment="1">
      <alignment vertical="center"/>
    </xf>
    <xf numFmtId="0" fontId="40" fillId="8" borderId="23" xfId="0" applyFont="1" applyFill="1" applyBorder="1" applyAlignment="1">
      <alignment vertical="center"/>
    </xf>
    <xf numFmtId="0" fontId="40" fillId="8" borderId="22" xfId="0" applyFont="1" applyFill="1" applyBorder="1" applyAlignment="1">
      <alignment vertical="center"/>
    </xf>
    <xf numFmtId="0" fontId="40" fillId="0" borderId="23" xfId="0" applyFont="1" applyBorder="1" applyAlignment="1">
      <alignment vertical="center"/>
    </xf>
    <xf numFmtId="0" fontId="40" fillId="0" borderId="14" xfId="0" applyFont="1" applyBorder="1" applyAlignment="1">
      <alignment vertical="center"/>
    </xf>
    <xf numFmtId="0" fontId="40" fillId="0" borderId="9" xfId="0" applyFont="1" applyBorder="1" applyAlignment="1">
      <alignment vertical="center"/>
    </xf>
    <xf numFmtId="0" fontId="40" fillId="0" borderId="17" xfId="0" applyFont="1" applyBorder="1" applyAlignment="1">
      <alignment vertical="center"/>
    </xf>
    <xf numFmtId="0" fontId="40" fillId="0" borderId="10" xfId="0" applyFont="1" applyBorder="1" applyAlignment="1">
      <alignment vertical="center"/>
    </xf>
    <xf numFmtId="0" fontId="40" fillId="0" borderId="18" xfId="0" applyFont="1" applyBorder="1" applyAlignment="1">
      <alignment vertical="center"/>
    </xf>
    <xf numFmtId="0" fontId="40" fillId="7" borderId="16" xfId="0" applyFont="1" applyFill="1" applyBorder="1" applyAlignment="1">
      <alignment vertical="center"/>
    </xf>
    <xf numFmtId="0" fontId="40" fillId="7" borderId="19" xfId="0" applyFont="1" applyFill="1" applyBorder="1" applyAlignment="1">
      <alignment vertical="center"/>
    </xf>
    <xf numFmtId="0" fontId="25" fillId="0" borderId="52" xfId="0" applyFont="1" applyBorder="1"/>
    <xf numFmtId="0" fontId="25" fillId="0" borderId="2" xfId="0" applyFont="1" applyBorder="1"/>
    <xf numFmtId="0" fontId="13" fillId="7" borderId="14" xfId="0" applyFont="1" applyFill="1" applyBorder="1"/>
    <xf numFmtId="0" fontId="25" fillId="0" borderId="54" xfId="0" applyFont="1" applyBorder="1"/>
    <xf numFmtId="0" fontId="25" fillId="0" borderId="49" xfId="0" applyFont="1" applyBorder="1"/>
    <xf numFmtId="0" fontId="0" fillId="0" borderId="0" xfId="0" applyAlignment="1">
      <alignment vertical="center" wrapText="1"/>
    </xf>
    <xf numFmtId="0" fontId="40" fillId="0" borderId="62" xfId="0" applyFont="1" applyBorder="1" applyAlignment="1">
      <alignment vertical="center"/>
    </xf>
    <xf numFmtId="0" fontId="40" fillId="0" borderId="63" xfId="0" applyFont="1" applyBorder="1" applyAlignment="1">
      <alignment vertical="center"/>
    </xf>
    <xf numFmtId="0" fontId="37" fillId="0" borderId="0" xfId="0" applyFont="1" applyAlignment="1">
      <alignment vertical="center"/>
    </xf>
    <xf numFmtId="0" fontId="13" fillId="0" borderId="0" xfId="0" applyFont="1" applyAlignment="1">
      <alignment vertical="center"/>
    </xf>
    <xf numFmtId="0" fontId="31" fillId="0" borderId="0" xfId="0" applyFont="1"/>
    <xf numFmtId="0" fontId="60" fillId="0" borderId="22" xfId="0" applyFont="1" applyBorder="1" applyAlignment="1">
      <alignment horizontal="center" vertical="center"/>
    </xf>
    <xf numFmtId="0" fontId="60" fillId="0" borderId="13" xfId="0" applyFont="1" applyBorder="1" applyAlignment="1">
      <alignment horizontal="center" vertical="center"/>
    </xf>
    <xf numFmtId="0" fontId="60" fillId="0" borderId="18" xfId="0" applyFont="1" applyBorder="1" applyAlignment="1">
      <alignment vertical="center"/>
    </xf>
    <xf numFmtId="0" fontId="21" fillId="7" borderId="19" xfId="0" applyFont="1" applyFill="1" applyBorder="1" applyAlignment="1">
      <alignment horizontal="center" vertical="center"/>
    </xf>
    <xf numFmtId="0" fontId="21" fillId="7" borderId="23" xfId="0" applyFont="1" applyFill="1" applyBorder="1" applyAlignment="1">
      <alignment horizontal="center" vertical="center" wrapText="1"/>
    </xf>
    <xf numFmtId="0" fontId="1" fillId="0" borderId="49" xfId="0" applyFont="1" applyBorder="1" applyAlignment="1">
      <alignment vertical="center"/>
    </xf>
    <xf numFmtId="0" fontId="1" fillId="0" borderId="51" xfId="0" applyFont="1" applyBorder="1" applyAlignment="1">
      <alignment vertical="center"/>
    </xf>
    <xf numFmtId="0" fontId="60" fillId="0" borderId="0" xfId="0" applyFont="1" applyAlignment="1">
      <alignment horizontal="center" vertical="center"/>
    </xf>
    <xf numFmtId="0" fontId="25" fillId="0" borderId="55" xfId="0" applyFont="1" applyBorder="1"/>
    <xf numFmtId="0" fontId="25" fillId="0" borderId="51" xfId="0" applyFont="1" applyBorder="1"/>
    <xf numFmtId="0" fontId="39" fillId="0" borderId="0" xfId="0" applyFont="1" applyAlignment="1">
      <alignment vertical="center"/>
    </xf>
    <xf numFmtId="0" fontId="39" fillId="0" borderId="12" xfId="0" applyFont="1" applyBorder="1" applyAlignment="1">
      <alignment vertical="center"/>
    </xf>
    <xf numFmtId="0" fontId="13" fillId="7" borderId="22" xfId="0" applyFont="1" applyFill="1" applyBorder="1"/>
    <xf numFmtId="0" fontId="0" fillId="0" borderId="0" xfId="0" applyAlignment="1">
      <alignment horizontal="left"/>
    </xf>
    <xf numFmtId="0" fontId="44" fillId="16" borderId="20" xfId="0" applyFont="1" applyFill="1" applyBorder="1" applyAlignment="1">
      <alignment vertical="center"/>
    </xf>
    <xf numFmtId="0" fontId="44" fillId="16" borderId="21" xfId="0" applyFont="1" applyFill="1" applyBorder="1" applyAlignment="1">
      <alignment vertical="center"/>
    </xf>
    <xf numFmtId="0" fontId="0" fillId="21" borderId="16" xfId="0" applyFill="1" applyBorder="1" applyAlignment="1">
      <alignment vertical="center"/>
    </xf>
    <xf numFmtId="0" fontId="53" fillId="0" borderId="22" xfId="0" applyFont="1" applyBorder="1"/>
    <xf numFmtId="0" fontId="43" fillId="0" borderId="0" xfId="0" applyFont="1"/>
    <xf numFmtId="0" fontId="1" fillId="7" borderId="20" xfId="0" applyFont="1" applyFill="1" applyBorder="1" applyAlignment="1">
      <alignment vertical="center"/>
    </xf>
    <xf numFmtId="0" fontId="0" fillId="0" borderId="23" xfId="0" applyBorder="1" applyAlignment="1">
      <alignment horizontal="center" vertical="center"/>
    </xf>
    <xf numFmtId="0" fontId="44" fillId="16" borderId="21" xfId="0" applyFont="1" applyFill="1" applyBorder="1" applyAlignment="1">
      <alignment horizontal="center" vertical="center"/>
    </xf>
    <xf numFmtId="0" fontId="21" fillId="7" borderId="16" xfId="0" applyFont="1" applyFill="1" applyBorder="1" applyAlignment="1">
      <alignment horizontal="center" vertical="center" wrapText="1"/>
    </xf>
    <xf numFmtId="0" fontId="0" fillId="0" borderId="16" xfId="0" applyBorder="1" applyAlignment="1">
      <alignment horizontal="center" vertical="center"/>
    </xf>
    <xf numFmtId="0" fontId="48" fillId="0" borderId="16" xfId="0" applyFont="1" applyBorder="1" applyAlignment="1">
      <alignment horizontal="center" vertical="center"/>
    </xf>
    <xf numFmtId="0" fontId="0" fillId="7" borderId="21" xfId="0" applyFill="1" applyBorder="1" applyAlignment="1">
      <alignment horizontal="center" vertical="center"/>
    </xf>
    <xf numFmtId="0" fontId="0" fillId="0" borderId="12" xfId="0" applyBorder="1" applyAlignment="1">
      <alignment horizontal="center" vertical="center"/>
    </xf>
    <xf numFmtId="0" fontId="0" fillId="7" borderId="15" xfId="0" applyFill="1" applyBorder="1" applyAlignment="1">
      <alignment horizontal="center" vertical="center"/>
    </xf>
    <xf numFmtId="0" fontId="24" fillId="7" borderId="19" xfId="0" applyFont="1" applyFill="1" applyBorder="1" applyAlignment="1">
      <alignment horizontal="center" vertical="center"/>
    </xf>
    <xf numFmtId="0" fontId="21" fillId="7" borderId="16" xfId="0" applyFont="1" applyFill="1" applyBorder="1" applyAlignment="1">
      <alignment horizontal="center" vertical="center"/>
    </xf>
    <xf numFmtId="11" fontId="0" fillId="0" borderId="16" xfId="0" applyNumberFormat="1" applyBorder="1" applyAlignment="1">
      <alignment horizontal="center" vertical="center"/>
    </xf>
    <xf numFmtId="11" fontId="0" fillId="0" borderId="0" xfId="0" applyNumberFormat="1" applyAlignment="1">
      <alignment horizontal="center" vertical="center"/>
    </xf>
    <xf numFmtId="0" fontId="0" fillId="0" borderId="22" xfId="0" applyBorder="1" applyAlignment="1">
      <alignment horizontal="center" vertical="center"/>
    </xf>
    <xf numFmtId="11" fontId="0" fillId="0" borderId="10" xfId="0" applyNumberFormat="1" applyBorder="1" applyAlignment="1">
      <alignment horizontal="center" vertical="center"/>
    </xf>
    <xf numFmtId="0" fontId="21" fillId="7" borderId="22" xfId="0" applyFont="1" applyFill="1" applyBorder="1" applyAlignment="1">
      <alignment horizontal="center" vertical="center"/>
    </xf>
    <xf numFmtId="0" fontId="0" fillId="7" borderId="20" xfId="0" applyFill="1" applyBorder="1" applyAlignment="1">
      <alignment horizontal="center" vertical="center"/>
    </xf>
    <xf numFmtId="43" fontId="0" fillId="0" borderId="0" xfId="65" applyFont="1" applyAlignment="1">
      <alignment vertical="center"/>
    </xf>
    <xf numFmtId="43" fontId="21" fillId="7" borderId="23" xfId="65" applyFont="1" applyFill="1" applyBorder="1" applyAlignment="1">
      <alignment horizontal="center" vertical="center"/>
    </xf>
    <xf numFmtId="43" fontId="21" fillId="7" borderId="18" xfId="65" applyFont="1" applyFill="1" applyBorder="1" applyAlignment="1">
      <alignment horizontal="center" vertical="center"/>
    </xf>
    <xf numFmtId="43" fontId="0" fillId="0" borderId="17" xfId="65" applyFont="1" applyBorder="1" applyAlignment="1">
      <alignment vertical="center"/>
    </xf>
    <xf numFmtId="43" fontId="0" fillId="0" borderId="17" xfId="65" applyFont="1" applyBorder="1" applyAlignment="1">
      <alignment horizontal="right" vertical="center"/>
    </xf>
    <xf numFmtId="43" fontId="0" fillId="0" borderId="18" xfId="65" applyFont="1" applyBorder="1" applyAlignment="1">
      <alignment vertical="center"/>
    </xf>
    <xf numFmtId="43" fontId="44" fillId="16" borderId="19" xfId="65" applyFont="1" applyFill="1" applyBorder="1" applyAlignment="1">
      <alignment vertical="center"/>
    </xf>
    <xf numFmtId="43" fontId="0" fillId="7" borderId="21" xfId="65" applyFont="1" applyFill="1" applyBorder="1" applyAlignment="1">
      <alignment vertical="center" wrapText="1"/>
    </xf>
    <xf numFmtId="43" fontId="0" fillId="0" borderId="12" xfId="65" applyFont="1" applyBorder="1" applyAlignment="1">
      <alignment vertical="center"/>
    </xf>
    <xf numFmtId="43" fontId="0" fillId="0" borderId="15" xfId="65" applyFont="1" applyBorder="1" applyAlignment="1">
      <alignment vertical="center"/>
    </xf>
    <xf numFmtId="43" fontId="0" fillId="7" borderId="15" xfId="65" applyFont="1" applyFill="1" applyBorder="1" applyAlignment="1">
      <alignment vertical="center" wrapText="1"/>
    </xf>
    <xf numFmtId="43" fontId="24" fillId="7" borderId="16" xfId="65" applyFont="1" applyFill="1" applyBorder="1" applyAlignment="1">
      <alignment vertical="center"/>
    </xf>
    <xf numFmtId="43" fontId="24" fillId="7" borderId="20" xfId="65" applyFont="1" applyFill="1" applyBorder="1" applyAlignment="1">
      <alignment vertical="center"/>
    </xf>
    <xf numFmtId="43" fontId="0" fillId="7" borderId="19" xfId="65" applyFont="1" applyFill="1" applyBorder="1" applyAlignment="1">
      <alignment vertical="center"/>
    </xf>
    <xf numFmtId="43" fontId="0" fillId="0" borderId="23" xfId="65" applyFont="1" applyBorder="1" applyAlignment="1">
      <alignment vertical="center"/>
    </xf>
    <xf numFmtId="0" fontId="24" fillId="7" borderId="20" xfId="0" applyFont="1" applyFill="1" applyBorder="1" applyAlignment="1">
      <alignment horizontal="left" vertical="center" wrapText="1"/>
    </xf>
    <xf numFmtId="0" fontId="24" fillId="7" borderId="16" xfId="0" applyFont="1" applyFill="1" applyBorder="1" applyAlignment="1">
      <alignment horizontal="left" vertical="center" wrapText="1"/>
    </xf>
    <xf numFmtId="43" fontId="24" fillId="7" borderId="16" xfId="65" applyFont="1" applyFill="1" applyBorder="1" applyAlignment="1">
      <alignment horizontal="left" vertical="center" wrapText="1"/>
    </xf>
    <xf numFmtId="0" fontId="0" fillId="0" borderId="17" xfId="0" applyBorder="1" applyAlignment="1">
      <alignment horizontal="left" vertical="center"/>
    </xf>
    <xf numFmtId="43" fontId="0" fillId="0" borderId="17" xfId="65" applyFont="1" applyBorder="1" applyAlignment="1">
      <alignment horizontal="left" vertical="center"/>
    </xf>
    <xf numFmtId="0" fontId="0" fillId="0" borderId="17" xfId="0" applyBorder="1" applyAlignment="1">
      <alignment horizontal="left"/>
    </xf>
    <xf numFmtId="0" fontId="0" fillId="0" borderId="18" xfId="0" applyBorder="1" applyAlignment="1">
      <alignment horizontal="left" vertical="center"/>
    </xf>
    <xf numFmtId="43" fontId="0" fillId="0" borderId="18" xfId="65" applyFont="1" applyBorder="1" applyAlignment="1">
      <alignment horizontal="left" vertical="center"/>
    </xf>
    <xf numFmtId="0" fontId="0" fillId="0" borderId="18" xfId="0" applyBorder="1" applyAlignment="1">
      <alignment horizontal="left"/>
    </xf>
    <xf numFmtId="0" fontId="60" fillId="0" borderId="17" xfId="0" applyFont="1" applyBorder="1" applyAlignment="1">
      <alignment horizontal="left" vertical="center"/>
    </xf>
    <xf numFmtId="0" fontId="0" fillId="0" borderId="10" xfId="0" applyBorder="1" applyAlignment="1">
      <alignment horizontal="left" vertical="center"/>
    </xf>
    <xf numFmtId="0" fontId="0" fillId="0" borderId="13" xfId="0" applyBorder="1" applyAlignment="1">
      <alignment horizontal="left" vertical="center"/>
    </xf>
    <xf numFmtId="0" fontId="44" fillId="22" borderId="50" xfId="0" applyFont="1" applyFill="1" applyBorder="1" applyAlignment="1">
      <alignment horizontal="center" vertical="center" wrapText="1"/>
    </xf>
    <xf numFmtId="0" fontId="44" fillId="22" borderId="14" xfId="0" applyFont="1" applyFill="1" applyBorder="1" applyAlignment="1">
      <alignment horizontal="center" vertical="center" wrapText="1"/>
    </xf>
    <xf numFmtId="0" fontId="44" fillId="22" borderId="15" xfId="0" applyFont="1" applyFill="1" applyBorder="1" applyAlignment="1">
      <alignment horizontal="center" vertical="center" wrapText="1"/>
    </xf>
    <xf numFmtId="0" fontId="44" fillId="22" borderId="22" xfId="0" applyFont="1" applyFill="1" applyBorder="1" applyAlignment="1">
      <alignment horizontal="center" vertical="center" wrapText="1"/>
    </xf>
    <xf numFmtId="0" fontId="44" fillId="22" borderId="9" xfId="0" applyFont="1" applyFill="1" applyBorder="1" applyAlignment="1">
      <alignment horizontal="center" vertical="center" wrapText="1"/>
    </xf>
    <xf numFmtId="0" fontId="44" fillId="22" borderId="0" xfId="0" applyFont="1" applyFill="1" applyAlignment="1">
      <alignment horizontal="center" vertical="center" wrapText="1"/>
    </xf>
    <xf numFmtId="0" fontId="44" fillId="22" borderId="10" xfId="0" applyFont="1" applyFill="1" applyBorder="1" applyAlignment="1">
      <alignment horizontal="center" vertical="center" wrapText="1"/>
    </xf>
    <xf numFmtId="0" fontId="44" fillId="23" borderId="0" xfId="0" applyFont="1" applyFill="1" applyAlignment="1">
      <alignment horizontal="center" vertical="center" wrapText="1"/>
    </xf>
    <xf numFmtId="0" fontId="44" fillId="23" borderId="15" xfId="0" applyFont="1" applyFill="1" applyBorder="1" applyAlignment="1">
      <alignment horizontal="center" vertical="center" wrapText="1"/>
    </xf>
    <xf numFmtId="0" fontId="44" fillId="23" borderId="10" xfId="0" applyFont="1" applyFill="1" applyBorder="1" applyAlignment="1">
      <alignment horizontal="center" vertical="center" wrapText="1"/>
    </xf>
    <xf numFmtId="0" fontId="44" fillId="23" borderId="14" xfId="0" applyFont="1" applyFill="1" applyBorder="1" applyAlignment="1">
      <alignment horizontal="center" vertical="center" wrapText="1"/>
    </xf>
    <xf numFmtId="0" fontId="44" fillId="23" borderId="22" xfId="0" applyFont="1" applyFill="1" applyBorder="1" applyAlignment="1">
      <alignment horizontal="center" vertical="center" wrapText="1"/>
    </xf>
    <xf numFmtId="0" fontId="0" fillId="0" borderId="64" xfId="0" applyBorder="1"/>
    <xf numFmtId="0" fontId="0" fillId="0" borderId="68" xfId="0" applyBorder="1"/>
    <xf numFmtId="0" fontId="0" fillId="0" borderId="69" xfId="0" applyBorder="1"/>
    <xf numFmtId="0" fontId="0" fillId="0" borderId="70" xfId="0" applyBorder="1"/>
    <xf numFmtId="0" fontId="0" fillId="0" borderId="71" xfId="0" applyBorder="1"/>
    <xf numFmtId="0" fontId="0" fillId="0" borderId="72" xfId="0" applyBorder="1"/>
    <xf numFmtId="0" fontId="0" fillId="0" borderId="73" xfId="0" applyBorder="1"/>
    <xf numFmtId="0" fontId="0" fillId="10" borderId="74" xfId="0" applyFill="1" applyBorder="1"/>
    <xf numFmtId="0" fontId="0" fillId="9" borderId="74" xfId="0" applyFill="1" applyBorder="1"/>
    <xf numFmtId="0" fontId="0" fillId="0" borderId="75" xfId="0" applyBorder="1"/>
    <xf numFmtId="0" fontId="0" fillId="0" borderId="74" xfId="0" applyBorder="1"/>
    <xf numFmtId="0" fontId="4" fillId="9" borderId="76" xfId="0" applyFont="1" applyFill="1" applyBorder="1"/>
    <xf numFmtId="0" fontId="4" fillId="0" borderId="74" xfId="0" applyFont="1" applyBorder="1"/>
    <xf numFmtId="0" fontId="0" fillId="6" borderId="77" xfId="0" applyFill="1" applyBorder="1"/>
    <xf numFmtId="0" fontId="0" fillId="6" borderId="78" xfId="0" applyFill="1" applyBorder="1"/>
    <xf numFmtId="0" fontId="65" fillId="25" borderId="65" xfId="0" applyFont="1" applyFill="1" applyBorder="1" applyAlignment="1">
      <alignment horizontal="center" vertical="center" wrapText="1"/>
    </xf>
    <xf numFmtId="0" fontId="65" fillId="25" borderId="66" xfId="0" applyFont="1" applyFill="1" applyBorder="1" applyAlignment="1">
      <alignment horizontal="center" vertical="center" wrapText="1"/>
    </xf>
    <xf numFmtId="0" fontId="65" fillId="25" borderId="67" xfId="0" applyFont="1" applyFill="1" applyBorder="1" applyAlignment="1">
      <alignment horizontal="center" vertical="center" wrapText="1"/>
    </xf>
    <xf numFmtId="0" fontId="0" fillId="0" borderId="79" xfId="0" applyBorder="1"/>
    <xf numFmtId="0" fontId="0" fillId="0" borderId="80" xfId="0" applyBorder="1"/>
    <xf numFmtId="0" fontId="44" fillId="24" borderId="81" xfId="0" applyFont="1" applyFill="1" applyBorder="1" applyAlignment="1">
      <alignment horizontal="center" vertical="center" wrapText="1"/>
    </xf>
    <xf numFmtId="0" fontId="44" fillId="24" borderId="82" xfId="0"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83" xfId="0" applyFont="1" applyFill="1" applyBorder="1" applyAlignment="1">
      <alignment horizontal="center" vertical="center" wrapText="1"/>
    </xf>
    <xf numFmtId="0" fontId="65" fillId="25" borderId="55" xfId="0" applyFont="1" applyFill="1" applyBorder="1" applyAlignment="1">
      <alignment horizontal="center" vertical="center" wrapText="1"/>
    </xf>
    <xf numFmtId="0" fontId="65" fillId="25" borderId="50" xfId="0" applyFont="1" applyFill="1" applyBorder="1" applyAlignment="1">
      <alignment horizontal="center" vertical="center" wrapText="1"/>
    </xf>
    <xf numFmtId="0" fontId="44" fillId="23" borderId="50" xfId="0" applyFont="1" applyFill="1" applyBorder="1" applyAlignment="1">
      <alignment horizontal="center" vertical="center" wrapText="1"/>
    </xf>
    <xf numFmtId="0" fontId="44" fillId="23" borderId="89" xfId="0" applyFont="1" applyFill="1" applyBorder="1" applyAlignment="1">
      <alignment horizontal="center" vertical="center" wrapText="1"/>
    </xf>
    <xf numFmtId="0" fontId="65" fillId="25" borderId="90" xfId="0" applyFont="1" applyFill="1" applyBorder="1" applyAlignment="1">
      <alignment horizontal="center" vertical="center" wrapText="1"/>
    </xf>
    <xf numFmtId="0" fontId="65" fillId="25" borderId="91" xfId="0" applyFont="1" applyFill="1" applyBorder="1" applyAlignment="1">
      <alignment horizontal="center" vertical="center" wrapText="1"/>
    </xf>
    <xf numFmtId="0" fontId="65" fillId="25" borderId="92" xfId="0" applyFont="1" applyFill="1" applyBorder="1" applyAlignment="1">
      <alignment horizontal="center" vertical="center" wrapText="1"/>
    </xf>
    <xf numFmtId="0" fontId="44" fillId="23" borderId="63" xfId="0" applyFont="1" applyFill="1" applyBorder="1" applyAlignment="1">
      <alignment horizontal="center" vertical="center" wrapText="1"/>
    </xf>
    <xf numFmtId="0" fontId="44" fillId="22" borderId="90" xfId="0" applyFont="1" applyFill="1" applyBorder="1" applyAlignment="1">
      <alignment horizontal="center" vertical="center" wrapText="1"/>
    </xf>
    <xf numFmtId="0" fontId="44" fillId="22" borderId="92" xfId="0" applyFont="1" applyFill="1" applyBorder="1" applyAlignment="1">
      <alignment horizontal="center" vertical="center" wrapText="1"/>
    </xf>
    <xf numFmtId="0" fontId="44" fillId="22" borderId="89" xfId="0" applyFont="1" applyFill="1" applyBorder="1" applyAlignment="1">
      <alignment horizontal="center" vertical="center" wrapText="1"/>
    </xf>
    <xf numFmtId="0" fontId="44" fillId="23" borderId="90" xfId="0" applyFont="1" applyFill="1" applyBorder="1" applyAlignment="1">
      <alignment horizontal="center" vertical="center" wrapText="1"/>
    </xf>
    <xf numFmtId="0" fontId="44" fillId="23" borderId="92" xfId="0" applyFont="1" applyFill="1" applyBorder="1" applyAlignment="1">
      <alignment horizontal="center" vertical="center" wrapText="1"/>
    </xf>
    <xf numFmtId="0" fontId="44" fillId="22" borderId="63" xfId="0" applyFont="1" applyFill="1" applyBorder="1" applyAlignment="1">
      <alignment horizontal="center" vertical="center" wrapText="1"/>
    </xf>
    <xf numFmtId="0" fontId="44" fillId="23" borderId="91" xfId="0" applyFont="1" applyFill="1" applyBorder="1" applyAlignment="1">
      <alignment horizontal="center" vertical="center" wrapText="1"/>
    </xf>
    <xf numFmtId="0" fontId="44" fillId="22" borderId="91" xfId="0" applyFont="1" applyFill="1" applyBorder="1" applyAlignment="1">
      <alignment horizontal="center" vertical="center" wrapText="1"/>
    </xf>
    <xf numFmtId="0" fontId="21" fillId="7" borderId="15" xfId="0" applyFont="1" applyFill="1" applyBorder="1" applyAlignment="1">
      <alignment horizontal="center"/>
    </xf>
    <xf numFmtId="0" fontId="0" fillId="7" borderId="63" xfId="0" applyFill="1" applyBorder="1" applyAlignment="1">
      <alignment wrapText="1"/>
    </xf>
    <xf numFmtId="0" fontId="44" fillId="23" borderId="94" xfId="0" applyFont="1" applyFill="1" applyBorder="1" applyAlignment="1">
      <alignment horizontal="center" vertical="center" wrapText="1"/>
    </xf>
    <xf numFmtId="0" fontId="44" fillId="23" borderId="95" xfId="0" applyFont="1" applyFill="1" applyBorder="1" applyAlignment="1">
      <alignment horizontal="center" vertical="center" wrapText="1"/>
    </xf>
    <xf numFmtId="0" fontId="44" fillId="23" borderId="96" xfId="0" applyFont="1" applyFill="1" applyBorder="1" applyAlignment="1">
      <alignment horizontal="center" vertical="center" wrapText="1"/>
    </xf>
    <xf numFmtId="0" fontId="44" fillId="22" borderId="94" xfId="0" applyFont="1" applyFill="1" applyBorder="1" applyAlignment="1">
      <alignment horizontal="center" vertical="center" wrapText="1"/>
    </xf>
    <xf numFmtId="0" fontId="44" fillId="22" borderId="96" xfId="0" applyFont="1" applyFill="1" applyBorder="1" applyAlignment="1">
      <alignment horizontal="center" vertical="center" wrapText="1"/>
    </xf>
    <xf numFmtId="0" fontId="44" fillId="22" borderId="97" xfId="0" applyFont="1" applyFill="1" applyBorder="1" applyAlignment="1">
      <alignment horizontal="center" vertical="center" wrapText="1"/>
    </xf>
    <xf numFmtId="0" fontId="44" fillId="22" borderId="95" xfId="0" applyFont="1" applyFill="1" applyBorder="1" applyAlignment="1">
      <alignment horizontal="center" vertical="center" wrapText="1"/>
    </xf>
    <xf numFmtId="0" fontId="44" fillId="22" borderId="98" xfId="0" applyFont="1" applyFill="1" applyBorder="1" applyAlignment="1">
      <alignment horizontal="center" vertical="center" wrapText="1"/>
    </xf>
    <xf numFmtId="0" fontId="0" fillId="0" borderId="99" xfId="0" applyBorder="1"/>
    <xf numFmtId="0" fontId="0" fillId="0" borderId="100" xfId="0" applyBorder="1"/>
    <xf numFmtId="0" fontId="0" fillId="0" borderId="101" xfId="0" applyBorder="1"/>
    <xf numFmtId="0" fontId="0" fillId="0" borderId="102" xfId="0" applyBorder="1"/>
    <xf numFmtId="0" fontId="0" fillId="0" borderId="103" xfId="0" applyBorder="1"/>
    <xf numFmtId="0" fontId="0" fillId="0" borderId="104" xfId="0" applyBorder="1"/>
    <xf numFmtId="0" fontId="0" fillId="0" borderId="105" xfId="0" applyBorder="1"/>
    <xf numFmtId="0" fontId="0" fillId="7" borderId="10" xfId="0" applyFill="1" applyBorder="1"/>
    <xf numFmtId="0" fontId="0" fillId="10" borderId="9" xfId="0" applyFill="1" applyBorder="1"/>
    <xf numFmtId="0" fontId="1" fillId="0" borderId="21" xfId="0" applyFont="1" applyBorder="1"/>
    <xf numFmtId="0" fontId="1" fillId="10" borderId="0" xfId="0" applyFont="1" applyFill="1"/>
    <xf numFmtId="0" fontId="40" fillId="0" borderId="106" xfId="0" applyFont="1" applyBorder="1" applyAlignment="1">
      <alignment vertical="center"/>
    </xf>
    <xf numFmtId="0" fontId="40" fillId="8" borderId="20" xfId="0" applyFont="1" applyFill="1" applyBorder="1" applyAlignment="1">
      <alignment vertical="center" wrapText="1"/>
    </xf>
    <xf numFmtId="0" fontId="40" fillId="0" borderId="3" xfId="0" applyFont="1" applyBorder="1" applyAlignment="1">
      <alignment vertical="center"/>
    </xf>
    <xf numFmtId="0" fontId="40" fillId="8" borderId="106" xfId="0" applyFont="1" applyFill="1" applyBorder="1" applyAlignment="1">
      <alignment vertical="center" wrapText="1"/>
    </xf>
    <xf numFmtId="0" fontId="70" fillId="26" borderId="59" xfId="0" applyFont="1" applyFill="1" applyBorder="1" applyAlignment="1">
      <alignment vertical="center"/>
    </xf>
    <xf numFmtId="0" fontId="70" fillId="26" borderId="58" xfId="0" applyFont="1" applyFill="1" applyBorder="1" applyAlignment="1">
      <alignment vertical="center"/>
    </xf>
    <xf numFmtId="0" fontId="70" fillId="26" borderId="60" xfId="0" applyFont="1" applyFill="1" applyBorder="1" applyAlignment="1">
      <alignment vertical="center"/>
    </xf>
    <xf numFmtId="0" fontId="48" fillId="0" borderId="24" xfId="0" applyFont="1" applyBorder="1" applyAlignment="1">
      <alignment vertical="top"/>
    </xf>
    <xf numFmtId="0" fontId="48" fillId="0" borderId="24" xfId="0" applyFont="1" applyBorder="1" applyAlignment="1">
      <alignment vertical="top" wrapText="1"/>
    </xf>
    <xf numFmtId="0" fontId="71" fillId="0" borderId="0" xfId="0" applyFont="1"/>
    <xf numFmtId="0" fontId="71" fillId="0" borderId="0" xfId="0" applyFont="1" applyAlignment="1">
      <alignment wrapText="1"/>
    </xf>
    <xf numFmtId="0" fontId="25" fillId="0" borderId="0" xfId="0" applyFont="1" applyAlignment="1">
      <alignment horizontal="left" vertical="center" wrapText="1"/>
    </xf>
    <xf numFmtId="0" fontId="48" fillId="0" borderId="0" xfId="0" applyFont="1" applyAlignment="1">
      <alignment horizontal="left" vertical="top" wrapText="1" indent="1"/>
    </xf>
    <xf numFmtId="0" fontId="73" fillId="0" borderId="55" xfId="0" applyFont="1" applyBorder="1"/>
    <xf numFmtId="0" fontId="73" fillId="0" borderId="51" xfId="0" applyFont="1" applyBorder="1"/>
    <xf numFmtId="0" fontId="74" fillId="0" borderId="45" xfId="0" applyFont="1" applyBorder="1" applyAlignment="1" applyProtection="1">
      <alignment vertical="center"/>
      <protection locked="0"/>
    </xf>
    <xf numFmtId="0" fontId="74" fillId="0" borderId="45" xfId="0" applyFont="1" applyBorder="1" applyAlignment="1" applyProtection="1">
      <alignment horizontal="left" vertical="center"/>
      <protection locked="0"/>
    </xf>
    <xf numFmtId="0" fontId="74" fillId="0" borderId="45" xfId="0" applyFont="1" applyBorder="1" applyAlignment="1" applyProtection="1">
      <alignment vertical="center"/>
      <protection hidden="1"/>
    </xf>
    <xf numFmtId="43" fontId="74" fillId="0" borderId="45" xfId="65" applyFont="1" applyBorder="1" applyAlignment="1" applyProtection="1">
      <alignment vertical="center"/>
      <protection locked="0"/>
    </xf>
    <xf numFmtId="0" fontId="74" fillId="0" borderId="44" xfId="0" applyFont="1" applyBorder="1" applyAlignment="1" applyProtection="1">
      <alignment vertical="center"/>
      <protection locked="0"/>
    </xf>
    <xf numFmtId="0" fontId="74" fillId="10" borderId="44" xfId="0" applyFont="1" applyFill="1" applyBorder="1" applyAlignment="1" applyProtection="1">
      <alignment vertical="center"/>
      <protection locked="0"/>
    </xf>
    <xf numFmtId="0" fontId="74" fillId="0" borderId="44" xfId="0" applyFont="1" applyBorder="1" applyAlignment="1" applyProtection="1">
      <alignment horizontal="left" vertical="center"/>
      <protection locked="0"/>
    </xf>
    <xf numFmtId="43" fontId="74" fillId="0" borderId="44" xfId="65" applyFont="1" applyBorder="1" applyAlignment="1" applyProtection="1">
      <alignment vertical="center"/>
      <protection locked="0"/>
    </xf>
    <xf numFmtId="43" fontId="74" fillId="12" borderId="44" xfId="65" applyFont="1" applyFill="1" applyBorder="1" applyAlignment="1" applyProtection="1">
      <alignment vertical="center"/>
      <protection hidden="1"/>
    </xf>
    <xf numFmtId="11" fontId="74" fillId="12" borderId="44" xfId="0" applyNumberFormat="1" applyFont="1" applyFill="1" applyBorder="1" applyAlignment="1" applyProtection="1">
      <alignment vertical="center"/>
      <protection hidden="1"/>
    </xf>
    <xf numFmtId="174" fontId="1" fillId="0" borderId="0" xfId="0" applyNumberFormat="1" applyFont="1"/>
    <xf numFmtId="175" fontId="1" fillId="0" borderId="0" xfId="0" applyNumberFormat="1" applyFont="1"/>
    <xf numFmtId="2" fontId="0" fillId="0" borderId="69" xfId="0" applyNumberFormat="1" applyBorder="1"/>
    <xf numFmtId="2" fontId="0" fillId="0" borderId="64" xfId="0" applyNumberFormat="1" applyBorder="1"/>
    <xf numFmtId="0" fontId="25" fillId="0" borderId="61" xfId="0" applyFont="1" applyBorder="1"/>
    <xf numFmtId="0" fontId="25" fillId="0" borderId="56" xfId="0" applyFont="1" applyBorder="1"/>
    <xf numFmtId="0" fontId="25" fillId="0" borderId="57" xfId="0" applyFont="1" applyBorder="1"/>
    <xf numFmtId="0" fontId="0" fillId="0" borderId="99" xfId="0" applyBorder="1" applyAlignment="1">
      <alignment horizontal="center" vertical="center"/>
    </xf>
    <xf numFmtId="2" fontId="0" fillId="0" borderId="100" xfId="0" applyNumberFormat="1" applyBorder="1" applyAlignment="1">
      <alignment horizontal="center" vertical="center"/>
    </xf>
    <xf numFmtId="0" fontId="0" fillId="0" borderId="102" xfId="0" applyBorder="1" applyAlignment="1">
      <alignment horizontal="center" vertical="center"/>
    </xf>
    <xf numFmtId="2" fontId="0" fillId="0" borderId="64" xfId="0" applyNumberFormat="1" applyBorder="1" applyAlignment="1">
      <alignment horizontal="center" vertical="center"/>
    </xf>
    <xf numFmtId="43" fontId="74" fillId="12" borderId="88" xfId="65" applyFont="1" applyFill="1" applyBorder="1" applyAlignment="1" applyProtection="1">
      <alignment vertical="center"/>
      <protection hidden="1"/>
    </xf>
    <xf numFmtId="0" fontId="1" fillId="0" borderId="0" xfId="0" applyFont="1" applyAlignment="1">
      <alignment horizontal="center" wrapText="1"/>
    </xf>
    <xf numFmtId="0" fontId="44" fillId="28" borderId="15" xfId="0" applyFont="1" applyFill="1" applyBorder="1" applyAlignment="1">
      <alignment horizontal="center" vertical="center" wrapText="1"/>
    </xf>
    <xf numFmtId="0" fontId="0" fillId="10" borderId="74" xfId="0" applyFill="1" applyBorder="1" applyAlignment="1">
      <alignment horizontal="center" vertical="center"/>
    </xf>
    <xf numFmtId="173" fontId="0" fillId="0" borderId="69" xfId="0" applyNumberFormat="1" applyBorder="1" applyAlignment="1">
      <alignment horizontal="center" vertical="center"/>
    </xf>
    <xf numFmtId="0" fontId="0" fillId="0" borderId="110" xfId="0" applyBorder="1"/>
    <xf numFmtId="0" fontId="44" fillId="28" borderId="21" xfId="0" applyFont="1" applyFill="1" applyBorder="1" applyAlignment="1">
      <alignment horizontal="center" vertical="center" wrapText="1"/>
    </xf>
    <xf numFmtId="0" fontId="44" fillId="29" borderId="0" xfId="0" applyFont="1" applyFill="1" applyAlignment="1">
      <alignment horizontal="center" vertical="center" wrapText="1"/>
    </xf>
    <xf numFmtId="0" fontId="44" fillId="22" borderId="111" xfId="0" applyFont="1" applyFill="1" applyBorder="1" applyAlignment="1">
      <alignment horizontal="center" vertical="center" wrapText="1"/>
    </xf>
    <xf numFmtId="0" fontId="55" fillId="0" borderId="0" xfId="0" applyFont="1" applyAlignment="1">
      <alignment horizontal="left" vertical="center"/>
    </xf>
    <xf numFmtId="43" fontId="74" fillId="12" borderId="87" xfId="65" applyFont="1" applyFill="1" applyBorder="1" applyAlignment="1" applyProtection="1">
      <alignment vertical="center"/>
      <protection hidden="1"/>
    </xf>
    <xf numFmtId="0" fontId="21" fillId="27" borderId="44" xfId="64" applyFont="1" applyFill="1" applyBorder="1" applyAlignment="1">
      <alignment horizontal="center" vertical="center" wrapText="1"/>
    </xf>
    <xf numFmtId="171" fontId="74" fillId="12" borderId="44" xfId="65" applyNumberFormat="1" applyFont="1" applyFill="1" applyBorder="1" applyAlignment="1" applyProtection="1">
      <alignment vertical="center"/>
      <protection hidden="1"/>
    </xf>
    <xf numFmtId="43" fontId="74" fillId="12" borderId="45" xfId="65" applyFont="1" applyFill="1" applyBorder="1" applyAlignment="1" applyProtection="1">
      <alignment vertical="center"/>
      <protection hidden="1"/>
    </xf>
    <xf numFmtId="172" fontId="74" fillId="12" borderId="45" xfId="65" applyNumberFormat="1" applyFont="1" applyFill="1" applyBorder="1" applyAlignment="1" applyProtection="1">
      <alignment vertical="center"/>
      <protection hidden="1"/>
    </xf>
    <xf numFmtId="171" fontId="74" fillId="12" borderId="45" xfId="65" applyNumberFormat="1" applyFont="1" applyFill="1" applyBorder="1" applyAlignment="1" applyProtection="1">
      <alignment vertical="center"/>
      <protection hidden="1"/>
    </xf>
    <xf numFmtId="11" fontId="74" fillId="12" borderId="45" xfId="0" applyNumberFormat="1" applyFont="1" applyFill="1" applyBorder="1" applyAlignment="1" applyProtection="1">
      <alignment vertical="center"/>
      <protection hidden="1"/>
    </xf>
    <xf numFmtId="43" fontId="76" fillId="19" borderId="45" xfId="65" applyFont="1" applyFill="1" applyBorder="1" applyAlignment="1" applyProtection="1">
      <alignment horizontal="center" vertical="center" wrapText="1"/>
      <protection hidden="1"/>
    </xf>
    <xf numFmtId="0" fontId="72" fillId="31" borderId="40" xfId="0" applyFont="1" applyFill="1" applyBorder="1" applyAlignment="1">
      <alignment horizontal="center" vertical="center" wrapText="1"/>
    </xf>
    <xf numFmtId="0" fontId="47" fillId="31" borderId="40" xfId="0" applyFont="1" applyFill="1" applyBorder="1" applyAlignment="1">
      <alignment horizontal="center" vertical="center"/>
    </xf>
    <xf numFmtId="0" fontId="72" fillId="31" borderId="40" xfId="64" applyFont="1" applyFill="1" applyBorder="1" applyAlignment="1">
      <alignment horizontal="center" vertical="center" wrapText="1"/>
    </xf>
    <xf numFmtId="0" fontId="72" fillId="31" borderId="40" xfId="0" applyFont="1" applyFill="1" applyBorder="1" applyAlignment="1">
      <alignment horizontal="center" wrapText="1"/>
    </xf>
    <xf numFmtId="0" fontId="72" fillId="31" borderId="114" xfId="0" applyFont="1" applyFill="1" applyBorder="1" applyAlignment="1">
      <alignment horizontal="center" vertical="center" wrapText="1"/>
    </xf>
    <xf numFmtId="43" fontId="76" fillId="19" borderId="116" xfId="65" applyFont="1" applyFill="1" applyBorder="1" applyAlignment="1" applyProtection="1">
      <alignment horizontal="center" vertical="center" wrapText="1"/>
      <protection hidden="1"/>
    </xf>
    <xf numFmtId="0" fontId="74" fillId="10" borderId="120" xfId="0" applyFont="1" applyFill="1" applyBorder="1" applyAlignment="1" applyProtection="1">
      <alignment vertical="center"/>
      <protection locked="0"/>
    </xf>
    <xf numFmtId="0" fontId="74" fillId="0" borderId="120" xfId="0" applyFont="1" applyBorder="1" applyAlignment="1" applyProtection="1">
      <alignment vertical="center"/>
      <protection locked="0"/>
    </xf>
    <xf numFmtId="0" fontId="74" fillId="0" borderId="120" xfId="0" applyFont="1" applyBorder="1" applyAlignment="1" applyProtection="1">
      <alignment horizontal="left" vertical="center"/>
      <protection locked="0"/>
    </xf>
    <xf numFmtId="43" fontId="74" fillId="0" borderId="120" xfId="65" applyFont="1" applyBorder="1" applyAlignment="1" applyProtection="1">
      <alignment vertical="center"/>
      <protection locked="0"/>
    </xf>
    <xf numFmtId="0" fontId="72" fillId="31" borderId="43" xfId="64" applyFont="1" applyFill="1" applyBorder="1" applyAlignment="1">
      <alignment horizontal="center" vertical="center" wrapText="1"/>
    </xf>
    <xf numFmtId="0" fontId="21" fillId="27" borderId="88" xfId="64" applyFont="1" applyFill="1" applyBorder="1" applyAlignment="1">
      <alignment horizontal="center" vertical="center" wrapText="1"/>
    </xf>
    <xf numFmtId="0" fontId="72" fillId="31" borderId="43" xfId="0" applyFont="1" applyFill="1" applyBorder="1" applyAlignment="1">
      <alignment horizontal="center" vertical="center" wrapText="1"/>
    </xf>
    <xf numFmtId="0" fontId="72" fillId="31" borderId="41" xfId="64" applyFont="1" applyFill="1" applyBorder="1" applyAlignment="1">
      <alignment horizontal="center" vertical="center" wrapText="1"/>
    </xf>
    <xf numFmtId="0" fontId="21" fillId="27" borderId="118" xfId="64" applyFont="1" applyFill="1" applyBorder="1" applyAlignment="1">
      <alignment horizontal="center" vertical="center" wrapText="1"/>
    </xf>
    <xf numFmtId="0" fontId="77" fillId="0" borderId="44" xfId="0" applyFont="1" applyBorder="1" applyProtection="1">
      <protection locked="0"/>
    </xf>
    <xf numFmtId="0" fontId="77" fillId="0" borderId="44" xfId="0" applyFont="1" applyBorder="1" applyAlignment="1" applyProtection="1">
      <alignment vertical="center"/>
      <protection locked="0"/>
    </xf>
    <xf numFmtId="0" fontId="77" fillId="0" borderId="44" xfId="0" applyFont="1" applyBorder="1" applyProtection="1">
      <protection locked="0" hidden="1"/>
    </xf>
    <xf numFmtId="0" fontId="77" fillId="0" borderId="117" xfId="0" applyFont="1" applyBorder="1" applyProtection="1">
      <protection locked="0"/>
    </xf>
    <xf numFmtId="0" fontId="77" fillId="0" borderId="118" xfId="0" applyFont="1" applyBorder="1" applyProtection="1">
      <protection locked="0"/>
    </xf>
    <xf numFmtId="0" fontId="77" fillId="0" borderId="119" xfId="0" applyFont="1" applyBorder="1" applyProtection="1">
      <protection locked="0"/>
    </xf>
    <xf numFmtId="0" fontId="77" fillId="0" borderId="120" xfId="0" applyFont="1" applyBorder="1" applyProtection="1">
      <protection locked="0"/>
    </xf>
    <xf numFmtId="0" fontId="77" fillId="0" borderId="120" xfId="0" applyFont="1" applyBorder="1" applyAlignment="1" applyProtection="1">
      <alignment vertical="center"/>
      <protection locked="0"/>
    </xf>
    <xf numFmtId="0" fontId="77" fillId="0" borderId="120" xfId="0" applyFont="1" applyBorder="1" applyProtection="1">
      <protection locked="0" hidden="1"/>
    </xf>
    <xf numFmtId="0" fontId="77" fillId="0" borderId="121" xfId="0" applyFont="1" applyBorder="1" applyProtection="1">
      <protection locked="0"/>
    </xf>
    <xf numFmtId="0" fontId="80" fillId="31" borderId="145" xfId="0" applyFont="1" applyFill="1" applyBorder="1" applyAlignment="1">
      <alignment horizontal="center" vertical="center"/>
    </xf>
    <xf numFmtId="0" fontId="80" fillId="31" borderId="147" xfId="0" applyFont="1" applyFill="1" applyBorder="1" applyAlignment="1">
      <alignment horizontal="center" vertical="center"/>
    </xf>
    <xf numFmtId="0" fontId="77" fillId="0" borderId="45" xfId="0" applyFont="1" applyBorder="1" applyProtection="1">
      <protection locked="0"/>
    </xf>
    <xf numFmtId="0" fontId="77" fillId="0" borderId="45" xfId="0" applyFont="1" applyBorder="1" applyProtection="1">
      <protection locked="0" hidden="1"/>
    </xf>
    <xf numFmtId="0" fontId="77" fillId="0" borderId="116" xfId="0" applyFont="1" applyBorder="1" applyProtection="1">
      <protection locked="0"/>
    </xf>
    <xf numFmtId="0" fontId="44" fillId="31" borderId="149" xfId="0" applyFont="1" applyFill="1" applyBorder="1" applyProtection="1">
      <protection hidden="1"/>
    </xf>
    <xf numFmtId="0" fontId="80" fillId="31" borderId="153" xfId="0" applyFont="1" applyFill="1" applyBorder="1" applyAlignment="1">
      <alignment horizontal="center" vertical="center"/>
    </xf>
    <xf numFmtId="0" fontId="61" fillId="31" borderId="150" xfId="0" applyFont="1" applyFill="1" applyBorder="1" applyAlignment="1">
      <alignment horizontal="center" vertical="center" wrapText="1"/>
    </xf>
    <xf numFmtId="2" fontId="58" fillId="0" borderId="44" xfId="0" applyNumberFormat="1" applyFont="1" applyBorder="1" applyAlignment="1" applyProtection="1">
      <alignment horizontal="center" vertical="center"/>
      <protection locked="0"/>
    </xf>
    <xf numFmtId="0" fontId="58" fillId="0" borderId="44" xfId="0" applyFont="1" applyBorder="1" applyAlignment="1" applyProtection="1">
      <alignment horizontal="center" vertical="center"/>
      <protection locked="0"/>
    </xf>
    <xf numFmtId="0" fontId="58" fillId="0" borderId="44" xfId="0" applyFont="1" applyBorder="1" applyAlignment="1">
      <alignment horizontal="center" vertical="center"/>
    </xf>
    <xf numFmtId="2" fontId="58" fillId="0" borderId="44" xfId="0" applyNumberFormat="1" applyFont="1" applyBorder="1" applyAlignment="1">
      <alignment horizontal="center"/>
    </xf>
    <xf numFmtId="0" fontId="25" fillId="30" borderId="117" xfId="0" applyFont="1" applyFill="1" applyBorder="1" applyAlignment="1">
      <alignment vertical="center"/>
    </xf>
    <xf numFmtId="0" fontId="56" fillId="0" borderId="118" xfId="0" applyFont="1" applyBorder="1" applyAlignment="1">
      <alignment horizontal="center" vertical="center"/>
    </xf>
    <xf numFmtId="0" fontId="54" fillId="0" borderId="118" xfId="0" applyFont="1" applyBorder="1"/>
    <xf numFmtId="0" fontId="25" fillId="30" borderId="119" xfId="0" applyFont="1" applyFill="1" applyBorder="1" applyAlignment="1">
      <alignment vertical="center"/>
    </xf>
    <xf numFmtId="0" fontId="58" fillId="0" borderId="120" xfId="0" applyFont="1" applyBorder="1" applyAlignment="1" applyProtection="1">
      <alignment horizontal="center" vertical="center"/>
      <protection locked="0"/>
    </xf>
    <xf numFmtId="0" fontId="58" fillId="0" borderId="120" xfId="0" applyFont="1" applyBorder="1" applyAlignment="1">
      <alignment horizontal="center" vertical="center"/>
    </xf>
    <xf numFmtId="0" fontId="54" fillId="0" borderId="121" xfId="0" applyFont="1" applyBorder="1" applyAlignment="1">
      <alignment horizontal="center"/>
    </xf>
    <xf numFmtId="0" fontId="25" fillId="30" borderId="115" xfId="0" applyFont="1" applyFill="1" applyBorder="1" applyAlignment="1">
      <alignment vertical="center"/>
    </xf>
    <xf numFmtId="2" fontId="58" fillId="0" borderId="45" xfId="0" applyNumberFormat="1" applyFont="1" applyBorder="1" applyAlignment="1" applyProtection="1">
      <alignment horizontal="center" vertical="center"/>
      <protection locked="0"/>
    </xf>
    <xf numFmtId="0" fontId="56" fillId="0" borderId="116" xfId="0" applyFont="1" applyBorder="1" applyAlignment="1">
      <alignment horizontal="center" vertical="center"/>
    </xf>
    <xf numFmtId="0" fontId="57" fillId="31" borderId="170" xfId="0" applyFont="1" applyFill="1" applyBorder="1" applyAlignment="1" applyProtection="1">
      <alignment horizontal="center" vertical="center" wrapText="1"/>
      <protection locked="0"/>
    </xf>
    <xf numFmtId="0" fontId="57" fillId="31" borderId="171" xfId="0" applyFont="1" applyFill="1" applyBorder="1" applyAlignment="1" applyProtection="1">
      <alignment horizontal="center" vertical="center" wrapText="1"/>
      <protection locked="0"/>
    </xf>
    <xf numFmtId="0" fontId="57" fillId="31" borderId="173" xfId="0" applyFont="1" applyFill="1" applyBorder="1" applyAlignment="1" applyProtection="1">
      <alignment horizontal="center" vertical="center" wrapText="1"/>
      <protection locked="0"/>
    </xf>
    <xf numFmtId="0" fontId="57" fillId="31" borderId="172" xfId="0" applyFont="1" applyFill="1" applyBorder="1" applyAlignment="1">
      <alignment vertical="center" wrapText="1"/>
    </xf>
    <xf numFmtId="2" fontId="0" fillId="0" borderId="69" xfId="0" applyNumberFormat="1" applyBorder="1" applyAlignment="1">
      <alignment horizontal="right" vertical="center"/>
    </xf>
    <xf numFmtId="0" fontId="0" fillId="0" borderId="64" xfId="0" applyBorder="1" applyAlignment="1">
      <alignment horizontal="right"/>
    </xf>
    <xf numFmtId="43" fontId="76" fillId="19" borderId="87" xfId="65" applyFont="1" applyFill="1" applyBorder="1" applyAlignment="1" applyProtection="1">
      <alignment horizontal="center" vertical="center" wrapText="1"/>
      <protection hidden="1"/>
    </xf>
    <xf numFmtId="0" fontId="21" fillId="27" borderId="176" xfId="64" applyFont="1" applyFill="1" applyBorder="1" applyAlignment="1">
      <alignment horizontal="center" vertical="center" wrapText="1"/>
    </xf>
    <xf numFmtId="43" fontId="76" fillId="19" borderId="115" xfId="65" applyFont="1" applyFill="1" applyBorder="1" applyAlignment="1" applyProtection="1">
      <alignment horizontal="center" vertical="center" wrapText="1"/>
      <protection hidden="1"/>
    </xf>
    <xf numFmtId="43" fontId="0" fillId="0" borderId="79" xfId="65" applyFont="1" applyBorder="1"/>
    <xf numFmtId="43" fontId="0" fillId="0" borderId="80" xfId="65" applyFont="1" applyBorder="1"/>
    <xf numFmtId="0" fontId="25" fillId="0" borderId="0" xfId="0" applyFont="1" applyAlignment="1">
      <alignment horizontal="center" vertical="center" wrapText="1"/>
    </xf>
    <xf numFmtId="43" fontId="0" fillId="0" borderId="0" xfId="0" applyNumberFormat="1"/>
    <xf numFmtId="0" fontId="74" fillId="0" borderId="115" xfId="0" applyFont="1" applyBorder="1" applyAlignment="1" applyProtection="1">
      <alignment horizontal="center" vertical="center"/>
      <protection locked="0"/>
    </xf>
    <xf numFmtId="2" fontId="75" fillId="0" borderId="45" xfId="0" applyNumberFormat="1" applyFont="1" applyBorder="1" applyAlignment="1" applyProtection="1">
      <alignment horizontal="center" vertical="center" wrapText="1"/>
      <protection hidden="1"/>
    </xf>
    <xf numFmtId="2" fontId="75" fillId="0" borderId="44" xfId="0" applyNumberFormat="1" applyFont="1" applyBorder="1" applyAlignment="1" applyProtection="1">
      <alignment horizontal="center" vertical="center" wrapText="1"/>
      <protection hidden="1"/>
    </xf>
    <xf numFmtId="2" fontId="75" fillId="0" borderId="120" xfId="0" applyNumberFormat="1" applyFont="1" applyBorder="1" applyAlignment="1" applyProtection="1">
      <alignment horizontal="center" vertical="center" wrapText="1"/>
      <protection hidden="1"/>
    </xf>
    <xf numFmtId="0" fontId="0" fillId="0" borderId="0" xfId="0" applyProtection="1">
      <protection hidden="1"/>
    </xf>
    <xf numFmtId="0" fontId="82" fillId="31" borderId="136" xfId="0" applyFont="1" applyFill="1" applyBorder="1" applyProtection="1">
      <protection hidden="1"/>
    </xf>
    <xf numFmtId="0" fontId="82" fillId="31" borderId="137" xfId="0" applyFont="1" applyFill="1" applyBorder="1" applyProtection="1">
      <protection hidden="1"/>
    </xf>
    <xf numFmtId="0" fontId="0" fillId="0" borderId="0" xfId="0" applyAlignment="1" applyProtection="1">
      <alignment horizontal="center" vertical="center"/>
      <protection hidden="1"/>
    </xf>
    <xf numFmtId="164" fontId="82" fillId="31" borderId="133" xfId="0" applyNumberFormat="1" applyFont="1" applyFill="1" applyBorder="1" applyProtection="1">
      <protection hidden="1"/>
    </xf>
    <xf numFmtId="164" fontId="82" fillId="31" borderId="130" xfId="0" applyNumberFormat="1" applyFont="1" applyFill="1" applyBorder="1" applyProtection="1">
      <protection hidden="1"/>
    </xf>
    <xf numFmtId="0" fontId="0" fillId="0" borderId="25" xfId="0" applyBorder="1" applyAlignment="1">
      <alignment vertical="top" wrapText="1"/>
    </xf>
    <xf numFmtId="0" fontId="13" fillId="0" borderId="177" xfId="0" applyFont="1" applyBorder="1"/>
    <xf numFmtId="0" fontId="0" fillId="0" borderId="178" xfId="0" applyBorder="1"/>
    <xf numFmtId="0" fontId="0" fillId="0" borderId="177" xfId="0" applyBorder="1"/>
    <xf numFmtId="0" fontId="0" fillId="0" borderId="179" xfId="0" applyBorder="1"/>
    <xf numFmtId="0" fontId="0" fillId="0" borderId="180" xfId="0" applyBorder="1"/>
    <xf numFmtId="0" fontId="0" fillId="0" borderId="181" xfId="0" applyBorder="1"/>
    <xf numFmtId="0" fontId="0" fillId="0" borderId="185" xfId="0" applyBorder="1" applyAlignment="1">
      <alignment vertical="top" wrapText="1"/>
    </xf>
    <xf numFmtId="0" fontId="0" fillId="0" borderId="186" xfId="0" applyBorder="1" applyAlignment="1">
      <alignment vertical="top" wrapText="1"/>
    </xf>
    <xf numFmtId="0" fontId="0" fillId="0" borderId="187" xfId="0" applyBorder="1"/>
    <xf numFmtId="0" fontId="0" fillId="0" borderId="188" xfId="0" applyBorder="1"/>
    <xf numFmtId="0" fontId="0" fillId="0" borderId="189" xfId="0" applyBorder="1"/>
    <xf numFmtId="0" fontId="0" fillId="0" borderId="190" xfId="0" applyBorder="1"/>
    <xf numFmtId="0" fontId="0" fillId="0" borderId="191" xfId="0" applyBorder="1"/>
    <xf numFmtId="0" fontId="25" fillId="0" borderId="27" xfId="0" applyFont="1" applyBorder="1" applyAlignment="1">
      <alignment vertical="top" wrapText="1"/>
    </xf>
    <xf numFmtId="0" fontId="0" fillId="0" borderId="0" xfId="0" applyAlignment="1">
      <alignment horizontal="left" vertical="center"/>
    </xf>
    <xf numFmtId="0" fontId="1" fillId="0" borderId="0" xfId="0" applyFont="1" applyAlignment="1">
      <alignment horizontal="left" vertical="center"/>
    </xf>
    <xf numFmtId="0" fontId="25" fillId="0" borderId="0" xfId="0" applyFont="1" applyAlignment="1">
      <alignment vertical="center" wrapText="1"/>
    </xf>
    <xf numFmtId="0" fontId="44" fillId="31" borderId="125" xfId="0" applyFont="1" applyFill="1" applyBorder="1" applyAlignment="1" applyProtection="1">
      <alignment horizontal="center" vertical="center"/>
      <protection hidden="1"/>
    </xf>
    <xf numFmtId="0" fontId="74" fillId="0" borderId="117" xfId="0" applyFont="1" applyBorder="1" applyAlignment="1" applyProtection="1">
      <alignment horizontal="center" vertical="center"/>
      <protection locked="0"/>
    </xf>
    <xf numFmtId="0" fontId="74" fillId="0" borderId="119" xfId="0" applyFont="1" applyBorder="1" applyAlignment="1" applyProtection="1">
      <alignment horizontal="center" vertical="center"/>
      <protection locked="0"/>
    </xf>
    <xf numFmtId="49" fontId="1" fillId="0" borderId="198" xfId="63" applyNumberFormat="1" applyBorder="1" applyAlignment="1">
      <alignment vertical="center"/>
    </xf>
    <xf numFmtId="0" fontId="1" fillId="0" borderId="199" xfId="63" applyBorder="1" applyAlignment="1">
      <alignment vertical="center" wrapText="1"/>
    </xf>
    <xf numFmtId="49" fontId="1" fillId="0" borderId="203" xfId="63" applyNumberFormat="1" applyBorder="1" applyAlignment="1">
      <alignment vertical="center"/>
    </xf>
    <xf numFmtId="170" fontId="1" fillId="0" borderId="204" xfId="63" applyNumberFormat="1" applyBorder="1" applyAlignment="1">
      <alignment vertical="center"/>
    </xf>
    <xf numFmtId="0" fontId="1" fillId="0" borderId="204" xfId="63" applyBorder="1" applyAlignment="1">
      <alignment vertical="center"/>
    </xf>
    <xf numFmtId="0" fontId="1" fillId="0" borderId="205" xfId="63" applyBorder="1" applyAlignment="1">
      <alignment vertical="center" wrapText="1"/>
    </xf>
    <xf numFmtId="0" fontId="87" fillId="31" borderId="206" xfId="63" applyFont="1" applyFill="1" applyBorder="1" applyAlignment="1">
      <alignment horizontal="center" vertical="center"/>
    </xf>
    <xf numFmtId="0" fontId="87" fillId="31" borderId="207" xfId="63" applyFont="1" applyFill="1" applyBorder="1" applyAlignment="1">
      <alignment horizontal="center" vertical="center"/>
    </xf>
    <xf numFmtId="0" fontId="87" fillId="31" borderId="208" xfId="63" applyFont="1" applyFill="1" applyBorder="1" applyAlignment="1">
      <alignment horizontal="center" vertical="center" wrapText="1"/>
    </xf>
    <xf numFmtId="0" fontId="1" fillId="0" borderId="0" xfId="0" applyFont="1" applyProtection="1">
      <protection locked="0"/>
    </xf>
    <xf numFmtId="0" fontId="0" fillId="0" borderId="0" xfId="0" applyAlignment="1" applyProtection="1">
      <alignment wrapText="1"/>
      <protection locked="0"/>
    </xf>
    <xf numFmtId="0" fontId="0" fillId="0" borderId="0" xfId="0" applyProtection="1">
      <protection locked="0"/>
    </xf>
    <xf numFmtId="0" fontId="40" fillId="0" borderId="0" xfId="0" applyFont="1" applyAlignment="1" applyProtection="1">
      <alignment vertical="top" wrapText="1"/>
      <protection locked="0"/>
    </xf>
    <xf numFmtId="0" fontId="40" fillId="0" borderId="0" xfId="0" applyFont="1" applyAlignment="1" applyProtection="1">
      <alignment wrapText="1"/>
      <protection locked="0"/>
    </xf>
    <xf numFmtId="0" fontId="40" fillId="0" borderId="0" xfId="0" applyFont="1" applyProtection="1">
      <protection locked="0"/>
    </xf>
    <xf numFmtId="0" fontId="46" fillId="0" borderId="0" xfId="0" applyFont="1" applyAlignment="1" applyProtection="1">
      <alignment wrapText="1"/>
      <protection locked="0"/>
    </xf>
    <xf numFmtId="0" fontId="88" fillId="0" borderId="0" xfId="66" applyFont="1" applyAlignment="1">
      <alignment vertical="center"/>
    </xf>
    <xf numFmtId="0" fontId="0" fillId="0" borderId="210" xfId="0" applyBorder="1"/>
    <xf numFmtId="0" fontId="25" fillId="0" borderId="210" xfId="0" applyFont="1" applyBorder="1" applyAlignment="1">
      <alignment vertical="center" wrapText="1"/>
    </xf>
    <xf numFmtId="0" fontId="55" fillId="0" borderId="210" xfId="0" applyFont="1" applyBorder="1"/>
    <xf numFmtId="0" fontId="55" fillId="0" borderId="0" xfId="0" applyFont="1"/>
    <xf numFmtId="0" fontId="0" fillId="0" borderId="209" xfId="0" applyBorder="1"/>
    <xf numFmtId="0" fontId="1" fillId="0" borderId="210" xfId="0" applyFont="1" applyBorder="1" applyAlignment="1">
      <alignment horizontal="center" wrapText="1"/>
    </xf>
    <xf numFmtId="0" fontId="25" fillId="0" borderId="210" xfId="0" applyFont="1" applyBorder="1" applyAlignment="1">
      <alignment horizontal="left" vertical="center" wrapText="1"/>
    </xf>
    <xf numFmtId="0" fontId="1" fillId="0" borderId="209" xfId="0" applyFont="1" applyBorder="1" applyAlignment="1">
      <alignment horizontal="center" wrapText="1"/>
    </xf>
    <xf numFmtId="49" fontId="1" fillId="0" borderId="200" xfId="63" applyNumberFormat="1" applyBorder="1" applyAlignment="1">
      <alignment vertical="center"/>
    </xf>
    <xf numFmtId="170" fontId="1" fillId="0" borderId="201" xfId="63" applyNumberFormat="1" applyBorder="1" applyAlignment="1">
      <alignment vertical="center"/>
    </xf>
    <xf numFmtId="0" fontId="1" fillId="0" borderId="201" xfId="63" applyBorder="1" applyAlignment="1">
      <alignment vertical="center"/>
    </xf>
    <xf numFmtId="0" fontId="1" fillId="0" borderId="202" xfId="63" applyBorder="1" applyAlignment="1">
      <alignment vertical="center" wrapText="1"/>
    </xf>
    <xf numFmtId="0" fontId="1" fillId="0" borderId="182" xfId="0" applyFont="1" applyBorder="1" applyAlignment="1">
      <alignment vertical="top" wrapText="1"/>
    </xf>
    <xf numFmtId="0" fontId="0" fillId="0" borderId="183" xfId="0" applyBorder="1" applyAlignment="1">
      <alignment vertical="top" wrapText="1"/>
    </xf>
    <xf numFmtId="0" fontId="0" fillId="0" borderId="184" xfId="0" applyBorder="1" applyAlignment="1">
      <alignment vertical="top" wrapText="1"/>
    </xf>
    <xf numFmtId="0" fontId="25" fillId="0" borderId="37" xfId="0" applyFont="1" applyBorder="1" applyAlignment="1">
      <alignment vertical="top" wrapText="1"/>
    </xf>
    <xf numFmtId="0" fontId="0" fillId="0" borderId="34" xfId="0" applyBorder="1" applyAlignment="1">
      <alignment vertical="top" wrapText="1"/>
    </xf>
    <xf numFmtId="0" fontId="0" fillId="0" borderId="35" xfId="0"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0" fillId="0" borderId="33" xfId="0" applyBorder="1" applyAlignment="1">
      <alignment vertical="top" wrapText="1"/>
    </xf>
    <xf numFmtId="0" fontId="25" fillId="0" borderId="24" xfId="0" applyFont="1" applyBorder="1"/>
    <xf numFmtId="0" fontId="0" fillId="0" borderId="24" xfId="0" applyBorder="1"/>
    <xf numFmtId="0" fontId="0" fillId="0" borderId="28" xfId="0" applyBorder="1"/>
    <xf numFmtId="0" fontId="26" fillId="0" borderId="192" xfId="0" applyFont="1" applyBorder="1" applyProtection="1">
      <protection locked="0"/>
    </xf>
    <xf numFmtId="0" fontId="27" fillId="0" borderId="193" xfId="0" applyFont="1" applyBorder="1" applyProtection="1">
      <protection locked="0"/>
    </xf>
    <xf numFmtId="0" fontId="27" fillId="0" borderId="194" xfId="0" applyFont="1" applyBorder="1" applyProtection="1">
      <protection locked="0"/>
    </xf>
    <xf numFmtId="0" fontId="36" fillId="10" borderId="28" xfId="26" applyFont="1" applyFill="1" applyBorder="1" applyAlignment="1" applyProtection="1"/>
    <xf numFmtId="0" fontId="27" fillId="0" borderId="29" xfId="0" applyFont="1" applyBorder="1"/>
    <xf numFmtId="0" fontId="27" fillId="0" borderId="26" xfId="0" applyFont="1" applyBorder="1"/>
    <xf numFmtId="0" fontId="25" fillId="0" borderId="24" xfId="0" applyFont="1" applyBorder="1" applyAlignment="1">
      <alignment vertical="top" wrapText="1"/>
    </xf>
    <xf numFmtId="0" fontId="0" fillId="0" borderId="24" xfId="0" applyBorder="1" applyAlignment="1">
      <alignment vertical="top" wrapText="1"/>
    </xf>
    <xf numFmtId="0" fontId="0" fillId="0" borderId="24" xfId="0" applyBorder="1" applyAlignment="1">
      <alignment wrapText="1"/>
    </xf>
    <xf numFmtId="0" fontId="25" fillId="0" borderId="28" xfId="0" applyFont="1" applyBorder="1" applyAlignment="1">
      <alignment vertical="top"/>
    </xf>
    <xf numFmtId="0" fontId="25" fillId="0" borderId="29" xfId="0" applyFont="1" applyBorder="1" applyAlignment="1">
      <alignment vertical="top"/>
    </xf>
    <xf numFmtId="0" fontId="25" fillId="0" borderId="195" xfId="0" applyFont="1" applyBorder="1" applyAlignment="1" applyProtection="1">
      <alignment vertical="top" wrapText="1"/>
      <protection locked="0"/>
    </xf>
    <xf numFmtId="0" fontId="25" fillId="0" borderId="196" xfId="0" applyFont="1" applyBorder="1" applyAlignment="1" applyProtection="1">
      <alignment vertical="top" wrapText="1"/>
      <protection locked="0"/>
    </xf>
    <xf numFmtId="0" fontId="0" fillId="0" borderId="196" xfId="0" applyBorder="1" applyAlignment="1" applyProtection="1">
      <alignment vertical="top" wrapText="1"/>
      <protection locked="0"/>
    </xf>
    <xf numFmtId="0" fontId="0" fillId="0" borderId="197" xfId="0" applyBorder="1" applyAlignment="1" applyProtection="1">
      <alignment vertical="top" wrapText="1"/>
      <protection locked="0"/>
    </xf>
    <xf numFmtId="0" fontId="72" fillId="31" borderId="159" xfId="0" applyFont="1" applyFill="1" applyBorder="1" applyAlignment="1">
      <alignment horizontal="center" vertical="center"/>
    </xf>
    <xf numFmtId="0" fontId="72" fillId="31" borderId="160" xfId="0" applyFont="1" applyFill="1" applyBorder="1" applyAlignment="1">
      <alignment horizontal="center" vertical="center"/>
    </xf>
    <xf numFmtId="0" fontId="72" fillId="31" borderId="161" xfId="0" applyFont="1" applyFill="1" applyBorder="1" applyAlignment="1">
      <alignment horizontal="center" vertical="center"/>
    </xf>
    <xf numFmtId="0" fontId="72" fillId="31" borderId="162" xfId="0" applyFont="1" applyFill="1" applyBorder="1" applyAlignment="1">
      <alignment horizontal="center" vertical="center"/>
    </xf>
    <xf numFmtId="0" fontId="72" fillId="31" borderId="0" xfId="0" applyFont="1" applyFill="1" applyAlignment="1">
      <alignment horizontal="center" vertical="center"/>
    </xf>
    <xf numFmtId="0" fontId="72" fillId="31" borderId="163" xfId="0" applyFont="1" applyFill="1" applyBorder="1" applyAlignment="1">
      <alignment horizontal="center" vertical="center"/>
    </xf>
    <xf numFmtId="0" fontId="61" fillId="31" borderId="131" xfId="0" applyFont="1" applyFill="1" applyBorder="1" applyAlignment="1">
      <alignment horizontal="center" vertical="center" wrapText="1"/>
    </xf>
    <xf numFmtId="0" fontId="61" fillId="31" borderId="132" xfId="0" applyFont="1" applyFill="1" applyBorder="1" applyAlignment="1">
      <alignment horizontal="center" vertical="center" wrapText="1"/>
    </xf>
    <xf numFmtId="0" fontId="61" fillId="31" borderId="129" xfId="0" applyFont="1" applyFill="1" applyBorder="1" applyAlignment="1">
      <alignment horizontal="center" vertical="center" wrapText="1"/>
    </xf>
    <xf numFmtId="0" fontId="25"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72" fillId="31" borderId="154" xfId="0" applyFont="1" applyFill="1" applyBorder="1" applyAlignment="1">
      <alignment horizontal="center" vertical="center"/>
    </xf>
    <xf numFmtId="0" fontId="44" fillId="31" borderId="122" xfId="0" applyFont="1" applyFill="1" applyBorder="1" applyAlignment="1">
      <alignment horizontal="center" vertical="center"/>
    </xf>
    <xf numFmtId="0" fontId="72" fillId="31" borderId="142" xfId="0" applyFont="1" applyFill="1" applyBorder="1" applyAlignment="1">
      <alignment horizontal="center" vertical="center"/>
    </xf>
    <xf numFmtId="0" fontId="44" fillId="31" borderId="144" xfId="0" applyFont="1" applyFill="1" applyBorder="1" applyAlignment="1">
      <alignment horizontal="center" vertical="center"/>
    </xf>
    <xf numFmtId="0" fontId="44" fillId="31" borderId="143" xfId="0" applyFont="1" applyFill="1" applyBorder="1" applyAlignment="1" applyProtection="1">
      <alignment horizontal="center"/>
      <protection hidden="1"/>
    </xf>
    <xf numFmtId="0" fontId="44" fillId="31" borderId="148" xfId="0" applyFont="1" applyFill="1" applyBorder="1" applyAlignment="1" applyProtection="1">
      <alignment horizontal="center"/>
      <protection hidden="1"/>
    </xf>
    <xf numFmtId="0" fontId="0" fillId="0" borderId="0" xfId="0" applyAlignment="1">
      <alignment vertical="center" wrapText="1"/>
    </xf>
    <xf numFmtId="0" fontId="57" fillId="31" borderId="167" xfId="0" applyFont="1" applyFill="1" applyBorder="1" applyAlignment="1" applyProtection="1">
      <alignment horizontal="center" vertical="center" wrapText="1"/>
      <protection locked="0"/>
    </xf>
    <xf numFmtId="0" fontId="57" fillId="31" borderId="168" xfId="0" applyFont="1" applyFill="1" applyBorder="1" applyAlignment="1" applyProtection="1">
      <alignment horizontal="center" vertical="center" wrapText="1"/>
      <protection locked="0"/>
    </xf>
    <xf numFmtId="0" fontId="57" fillId="31" borderId="169" xfId="0" applyFont="1" applyFill="1" applyBorder="1" applyAlignment="1" applyProtection="1">
      <alignment horizontal="center" vertical="center" wrapText="1"/>
      <protection locked="0"/>
    </xf>
    <xf numFmtId="0" fontId="76" fillId="0" borderId="159" xfId="0" applyFont="1" applyBorder="1" applyAlignment="1">
      <alignment horizontal="left" vertical="top" wrapText="1" indent="1"/>
    </xf>
    <xf numFmtId="0" fontId="48" fillId="0" borderId="160" xfId="0" applyFont="1" applyBorder="1" applyAlignment="1">
      <alignment horizontal="left" vertical="top" wrapText="1" indent="1"/>
    </xf>
    <xf numFmtId="0" fontId="48" fillId="0" borderId="161" xfId="0" applyFont="1" applyBorder="1" applyAlignment="1">
      <alignment horizontal="left" vertical="top" wrapText="1" indent="1"/>
    </xf>
    <xf numFmtId="0" fontId="48" fillId="0" borderId="162" xfId="0" applyFont="1" applyBorder="1" applyAlignment="1">
      <alignment horizontal="left" vertical="top" wrapText="1" indent="1"/>
    </xf>
    <xf numFmtId="0" fontId="48" fillId="0" borderId="0" xfId="0" applyFont="1" applyAlignment="1">
      <alignment horizontal="left" vertical="top" wrapText="1" indent="1"/>
    </xf>
    <xf numFmtId="0" fontId="48" fillId="0" borderId="163" xfId="0" applyFont="1" applyBorder="1" applyAlignment="1">
      <alignment horizontal="left" vertical="top" wrapText="1" indent="1"/>
    </xf>
    <xf numFmtId="0" fontId="48" fillId="0" borderId="131" xfId="0" applyFont="1" applyBorder="1" applyAlignment="1">
      <alignment horizontal="left" vertical="top" wrapText="1" indent="1"/>
    </xf>
    <xf numFmtId="0" fontId="48" fillId="0" borderId="132" xfId="0" applyFont="1" applyBorder="1" applyAlignment="1">
      <alignment horizontal="left" vertical="top" wrapText="1" indent="1"/>
    </xf>
    <xf numFmtId="0" fontId="48" fillId="0" borderId="129" xfId="0" applyFont="1" applyBorder="1" applyAlignment="1">
      <alignment horizontal="left" vertical="top" wrapText="1" indent="1"/>
    </xf>
    <xf numFmtId="0" fontId="72" fillId="31" borderId="152" xfId="0" applyFont="1" applyFill="1" applyBorder="1" applyAlignment="1">
      <alignment horizontal="center" vertical="center"/>
    </xf>
    <xf numFmtId="0" fontId="72" fillId="31" borderId="126" xfId="0" applyFont="1" applyFill="1" applyBorder="1" applyAlignment="1">
      <alignment horizontal="center" vertical="center"/>
    </xf>
    <xf numFmtId="0" fontId="72" fillId="31" borderId="146" xfId="0" applyFont="1" applyFill="1" applyBorder="1" applyAlignment="1">
      <alignment horizontal="center" vertical="center"/>
    </xf>
    <xf numFmtId="0" fontId="57" fillId="31" borderId="164" xfId="0" applyFont="1" applyFill="1" applyBorder="1" applyAlignment="1">
      <alignment horizontal="left" vertical="center" wrapText="1"/>
    </xf>
    <xf numFmtId="0" fontId="57" fillId="31" borderId="165" xfId="0" applyFont="1" applyFill="1" applyBorder="1" applyAlignment="1">
      <alignment horizontal="left" vertical="center" wrapText="1"/>
    </xf>
    <xf numFmtId="0" fontId="57" fillId="31" borderId="166" xfId="0" applyFont="1" applyFill="1" applyBorder="1" applyAlignment="1">
      <alignment horizontal="left" vertical="center" wrapText="1"/>
    </xf>
    <xf numFmtId="0" fontId="57" fillId="31" borderId="117" xfId="0" applyFont="1" applyFill="1" applyBorder="1" applyAlignment="1">
      <alignment horizontal="left" vertical="center" wrapText="1"/>
    </xf>
    <xf numFmtId="0" fontId="57" fillId="31" borderId="44" xfId="0" applyFont="1" applyFill="1" applyBorder="1" applyAlignment="1">
      <alignment horizontal="left" vertical="center" wrapText="1"/>
    </xf>
    <xf numFmtId="0" fontId="57" fillId="31" borderId="118" xfId="0" applyFont="1" applyFill="1" applyBorder="1" applyAlignment="1">
      <alignment horizontal="left" vertical="center" wrapText="1"/>
    </xf>
    <xf numFmtId="0" fontId="72" fillId="31" borderId="155" xfId="0" applyFont="1" applyFill="1" applyBorder="1" applyAlignment="1">
      <alignment horizontal="center" vertical="center"/>
    </xf>
    <xf numFmtId="0" fontId="72" fillId="31" borderId="124" xfId="0" applyFont="1" applyFill="1" applyBorder="1" applyAlignment="1">
      <alignment horizontal="center" vertical="center"/>
    </xf>
    <xf numFmtId="0" fontId="61" fillId="31" borderId="20" xfId="0" applyFont="1" applyFill="1" applyBorder="1" applyAlignment="1" applyProtection="1">
      <alignment horizontal="left" vertical="center"/>
      <protection locked="0"/>
    </xf>
    <xf numFmtId="0" fontId="61" fillId="31" borderId="21" xfId="0" applyFont="1" applyFill="1" applyBorder="1" applyAlignment="1" applyProtection="1">
      <alignment horizontal="left" vertical="center"/>
      <protection locked="0"/>
    </xf>
    <xf numFmtId="0" fontId="61" fillId="31" borderId="19" xfId="0" applyFont="1" applyFill="1" applyBorder="1" applyAlignment="1" applyProtection="1">
      <alignment horizontal="left" vertical="center"/>
      <protection locked="0"/>
    </xf>
    <xf numFmtId="0" fontId="72" fillId="31" borderId="154" xfId="0" applyFont="1" applyFill="1" applyBorder="1" applyAlignment="1" applyProtection="1">
      <alignment horizontal="center" vertical="center" wrapText="1"/>
      <protection hidden="1"/>
    </xf>
    <xf numFmtId="0" fontId="72" fillId="31" borderId="122" xfId="0" applyFont="1" applyFill="1" applyBorder="1" applyAlignment="1" applyProtection="1">
      <alignment horizontal="center" vertical="center" wrapText="1"/>
      <protection hidden="1"/>
    </xf>
    <xf numFmtId="0" fontId="72" fillId="31" borderId="157" xfId="0" applyFont="1" applyFill="1" applyBorder="1" applyAlignment="1">
      <alignment horizontal="center" vertical="center" wrapText="1"/>
    </xf>
    <xf numFmtId="0" fontId="72" fillId="31" borderId="158" xfId="0" applyFont="1" applyFill="1" applyBorder="1" applyAlignment="1">
      <alignment horizontal="center" vertical="center" wrapText="1"/>
    </xf>
    <xf numFmtId="0" fontId="44" fillId="31" borderId="125" xfId="0" applyFont="1" applyFill="1" applyBorder="1" applyAlignment="1" applyProtection="1">
      <alignment horizontal="center"/>
      <protection hidden="1"/>
    </xf>
    <xf numFmtId="0" fontId="44" fillId="31" borderId="149" xfId="0" applyFont="1" applyFill="1" applyBorder="1" applyAlignment="1" applyProtection="1">
      <alignment horizontal="center"/>
      <protection hidden="1"/>
    </xf>
    <xf numFmtId="0" fontId="44" fillId="31" borderId="125" xfId="0" applyFont="1" applyFill="1" applyBorder="1" applyAlignment="1" applyProtection="1">
      <alignment horizontal="center" vertical="center"/>
      <protection hidden="1"/>
    </xf>
    <xf numFmtId="0" fontId="44" fillId="31" borderId="156" xfId="0" applyFont="1" applyFill="1" applyBorder="1" applyProtection="1">
      <protection hidden="1"/>
    </xf>
    <xf numFmtId="0" fontId="44" fillId="31" borderId="151" xfId="0" applyFont="1" applyFill="1" applyBorder="1" applyProtection="1">
      <protection hidden="1"/>
    </xf>
    <xf numFmtId="0" fontId="72" fillId="31" borderId="112" xfId="0" applyFont="1" applyFill="1" applyBorder="1" applyAlignment="1">
      <alignment horizontal="center" vertical="center"/>
    </xf>
    <xf numFmtId="0" fontId="44" fillId="31" borderId="113" xfId="0" applyFont="1" applyFill="1" applyBorder="1" applyAlignment="1">
      <alignment vertical="center"/>
    </xf>
    <xf numFmtId="0" fontId="72" fillId="31" borderId="113" xfId="0" applyFont="1" applyFill="1" applyBorder="1" applyAlignment="1">
      <alignment horizontal="center" vertical="center"/>
    </xf>
    <xf numFmtId="0" fontId="72" fillId="31" borderId="123" xfId="0" applyFont="1" applyFill="1" applyBorder="1" applyAlignment="1">
      <alignment horizontal="center" vertical="center"/>
    </xf>
    <xf numFmtId="43" fontId="84" fillId="31" borderId="134" xfId="65" applyFont="1" applyFill="1" applyBorder="1" applyAlignment="1" applyProtection="1">
      <alignment horizontal="center" vertical="center"/>
      <protection hidden="1"/>
    </xf>
    <xf numFmtId="43" fontId="84" fillId="31" borderId="135" xfId="65" applyFont="1" applyFill="1" applyBorder="1" applyAlignment="1" applyProtection="1">
      <alignment horizontal="center" vertical="center"/>
      <protection hidden="1"/>
    </xf>
    <xf numFmtId="0" fontId="68" fillId="32" borderId="126" xfId="0" applyFont="1" applyFill="1" applyBorder="1" applyAlignment="1">
      <alignment horizontal="center" vertical="center"/>
    </xf>
    <xf numFmtId="0" fontId="68" fillId="32" borderId="127" xfId="0" applyFont="1" applyFill="1" applyBorder="1" applyAlignment="1">
      <alignment horizontal="center" vertical="center"/>
    </xf>
    <xf numFmtId="0" fontId="40" fillId="0" borderId="209" xfId="0" applyFont="1" applyBorder="1" applyAlignment="1">
      <alignment horizontal="left" vertical="center" wrapText="1"/>
    </xf>
    <xf numFmtId="0" fontId="40" fillId="0" borderId="132" xfId="0" applyFont="1" applyBorder="1" applyAlignment="1">
      <alignment horizontal="left" vertical="center" wrapText="1"/>
    </xf>
    <xf numFmtId="43" fontId="84" fillId="31" borderId="128" xfId="65" applyFont="1" applyFill="1" applyBorder="1" applyAlignment="1" applyProtection="1">
      <alignment horizontal="center" vertical="center"/>
      <protection hidden="1"/>
    </xf>
    <xf numFmtId="43" fontId="84" fillId="31" borderId="129" xfId="65" applyFont="1" applyFill="1" applyBorder="1" applyAlignment="1" applyProtection="1">
      <alignment horizontal="center" vertical="center"/>
      <protection hidden="1"/>
    </xf>
    <xf numFmtId="164" fontId="82" fillId="31" borderId="139" xfId="0" applyNumberFormat="1" applyFont="1" applyFill="1" applyBorder="1" applyAlignment="1" applyProtection="1">
      <alignment horizontal="right" vertical="center" wrapText="1"/>
      <protection hidden="1"/>
    </xf>
    <xf numFmtId="164" fontId="82" fillId="31" borderId="140" xfId="0" applyNumberFormat="1" applyFont="1" applyFill="1" applyBorder="1" applyAlignment="1" applyProtection="1">
      <alignment horizontal="right" vertical="center" wrapText="1"/>
      <protection hidden="1"/>
    </xf>
    <xf numFmtId="164" fontId="82" fillId="31" borderId="141" xfId="0" applyNumberFormat="1" applyFont="1" applyFill="1" applyBorder="1" applyAlignment="1" applyProtection="1">
      <alignment horizontal="right" vertical="center" wrapText="1"/>
      <protection hidden="1"/>
    </xf>
    <xf numFmtId="0" fontId="72" fillId="31" borderId="124" xfId="64" applyFont="1" applyFill="1" applyBorder="1" applyAlignment="1">
      <alignment horizontal="center" vertical="center" wrapText="1"/>
    </xf>
    <xf numFmtId="0" fontId="72" fillId="31" borderId="113" xfId="64" applyFont="1" applyFill="1" applyBorder="1" applyAlignment="1">
      <alignment horizontal="center" vertical="center" wrapText="1"/>
    </xf>
    <xf numFmtId="0" fontId="72" fillId="31" borderId="123" xfId="64" applyFont="1" applyFill="1" applyBorder="1" applyAlignment="1">
      <alignment horizontal="center" vertical="center" wrapText="1"/>
    </xf>
    <xf numFmtId="164" fontId="82" fillId="31" borderId="138" xfId="0" applyNumberFormat="1" applyFont="1" applyFill="1" applyBorder="1" applyAlignment="1" applyProtection="1">
      <alignment horizontal="right" vertical="center" wrapText="1"/>
      <protection hidden="1"/>
    </xf>
    <xf numFmtId="0" fontId="82" fillId="31" borderId="136" xfId="0" applyFont="1" applyFill="1" applyBorder="1" applyAlignment="1" applyProtection="1">
      <alignment horizontal="right" vertical="center" wrapText="1"/>
      <protection hidden="1"/>
    </xf>
    <xf numFmtId="0" fontId="59" fillId="27" borderId="174" xfId="64" applyFont="1" applyFill="1" applyBorder="1" applyAlignment="1">
      <alignment horizontal="center" vertical="center" wrapText="1"/>
    </xf>
    <xf numFmtId="0" fontId="59" fillId="27" borderId="175" xfId="64" applyFont="1" applyFill="1" applyBorder="1" applyAlignment="1">
      <alignment horizontal="center" vertical="center" wrapText="1"/>
    </xf>
    <xf numFmtId="0" fontId="59" fillId="27" borderId="157" xfId="64" applyFont="1" applyFill="1" applyBorder="1" applyAlignment="1">
      <alignment horizontal="center" vertical="center" wrapText="1"/>
    </xf>
    <xf numFmtId="0" fontId="47" fillId="14" borderId="0" xfId="0" applyFont="1" applyFill="1" applyAlignment="1">
      <alignment horizontal="left" vertical="center" wrapText="1"/>
    </xf>
    <xf numFmtId="0" fontId="47" fillId="13" borderId="0" xfId="0" applyFont="1" applyFill="1" applyAlignment="1">
      <alignment horizontal="center" vertical="center" wrapText="1"/>
    </xf>
    <xf numFmtId="0" fontId="47" fillId="15" borderId="0" xfId="0" applyFont="1" applyFill="1" applyAlignment="1">
      <alignment horizontal="left" vertical="center" wrapText="1"/>
    </xf>
    <xf numFmtId="0" fontId="47" fillId="16" borderId="0" xfId="0" applyFont="1" applyFill="1" applyAlignment="1">
      <alignment horizontal="left" vertical="center" wrapText="1"/>
    </xf>
    <xf numFmtId="0" fontId="47" fillId="11" borderId="22" xfId="0" applyFont="1" applyFill="1" applyBorder="1" applyAlignment="1">
      <alignment horizontal="center" vertical="center" wrapText="1"/>
    </xf>
    <xf numFmtId="0" fontId="44" fillId="11" borderId="13" xfId="0" applyFont="1" applyFill="1" applyBorder="1" applyAlignment="1">
      <alignment horizontal="center" vertical="center"/>
    </xf>
    <xf numFmtId="0" fontId="27" fillId="7" borderId="14" xfId="0" applyFont="1" applyFill="1" applyBorder="1" applyAlignment="1">
      <alignment horizontal="center" vertical="center"/>
    </xf>
    <xf numFmtId="0" fontId="27" fillId="0" borderId="15" xfId="0" applyFont="1" applyBorder="1" applyAlignment="1">
      <alignment vertical="center"/>
    </xf>
    <xf numFmtId="0" fontId="27" fillId="0" borderId="11" xfId="0" applyFont="1" applyBorder="1" applyAlignment="1">
      <alignment vertical="center"/>
    </xf>
    <xf numFmtId="0" fontId="27" fillId="0" borderId="12" xfId="0" applyFont="1" applyBorder="1" applyAlignment="1">
      <alignment vertical="center"/>
    </xf>
    <xf numFmtId="0" fontId="21" fillId="7" borderId="23" xfId="0" applyFont="1" applyFill="1" applyBorder="1" applyAlignment="1">
      <alignment horizontal="center" vertical="center" wrapText="1"/>
    </xf>
    <xf numFmtId="0" fontId="0" fillId="0" borderId="18" xfId="0" applyBorder="1" applyAlignment="1">
      <alignment horizontal="center" vertical="center" wrapText="1"/>
    </xf>
    <xf numFmtId="0" fontId="1" fillId="0" borderId="23" xfId="0" applyFont="1" applyBorder="1" applyAlignment="1">
      <alignment vertical="center" wrapText="1"/>
    </xf>
    <xf numFmtId="0" fontId="0" fillId="0" borderId="17" xfId="0" applyBorder="1" applyAlignment="1">
      <alignment vertical="center"/>
    </xf>
    <xf numFmtId="0" fontId="0" fillId="0" borderId="18" xfId="0" applyBorder="1" applyAlignment="1">
      <alignment vertical="center"/>
    </xf>
    <xf numFmtId="0" fontId="47" fillId="17" borderId="0" xfId="0" applyFont="1" applyFill="1" applyAlignment="1">
      <alignment horizontal="center" vertical="center" wrapText="1"/>
    </xf>
    <xf numFmtId="0" fontId="13" fillId="8" borderId="20" xfId="0" applyFont="1" applyFill="1" applyBorder="1" applyAlignment="1">
      <alignment horizontal="center" vertical="center" wrapText="1"/>
    </xf>
    <xf numFmtId="0" fontId="13" fillId="8" borderId="21" xfId="0" applyFont="1" applyFill="1" applyBorder="1" applyAlignment="1">
      <alignment horizontal="center" vertical="center" wrapText="1"/>
    </xf>
    <xf numFmtId="0" fontId="13" fillId="8" borderId="19" xfId="0" applyFont="1" applyFill="1" applyBorder="1" applyAlignment="1">
      <alignment horizontal="center" vertical="center" wrapText="1"/>
    </xf>
    <xf numFmtId="0" fontId="21" fillId="7" borderId="20" xfId="0" applyFont="1" applyFill="1" applyBorder="1" applyAlignment="1">
      <alignment horizontal="center" vertical="center" wrapText="1"/>
    </xf>
    <xf numFmtId="0" fontId="21" fillId="7" borderId="21" xfId="0" applyFont="1" applyFill="1" applyBorder="1" applyAlignment="1">
      <alignment horizontal="center" vertical="center" wrapText="1"/>
    </xf>
    <xf numFmtId="0" fontId="21" fillId="7" borderId="19" xfId="0" applyFont="1" applyFill="1" applyBorder="1" applyAlignment="1">
      <alignment horizontal="center" vertical="center" wrapText="1"/>
    </xf>
    <xf numFmtId="0" fontId="46" fillId="8" borderId="20" xfId="0" applyFont="1" applyFill="1" applyBorder="1"/>
    <xf numFmtId="0" fontId="46" fillId="0" borderId="19" xfId="0" applyFont="1" applyBorder="1"/>
    <xf numFmtId="0" fontId="46" fillId="8" borderId="12" xfId="0" applyFont="1" applyFill="1" applyBorder="1"/>
    <xf numFmtId="0" fontId="46" fillId="0" borderId="13" xfId="0" applyFont="1" applyBorder="1"/>
    <xf numFmtId="0" fontId="46" fillId="8" borderId="11" xfId="0" applyFont="1" applyFill="1" applyBorder="1"/>
    <xf numFmtId="0" fontId="46" fillId="0" borderId="12" xfId="0" applyFont="1" applyBorder="1"/>
    <xf numFmtId="0" fontId="21" fillId="7" borderId="0" xfId="0" applyFont="1" applyFill="1" applyAlignment="1">
      <alignment horizontal="center" vertical="center" wrapText="1"/>
    </xf>
    <xf numFmtId="0" fontId="46" fillId="7" borderId="20" xfId="0" applyFont="1" applyFill="1" applyBorder="1" applyAlignment="1">
      <alignment horizontal="center" vertical="center" wrapText="1"/>
    </xf>
    <xf numFmtId="0" fontId="46" fillId="7" borderId="21" xfId="0" applyFont="1" applyFill="1" applyBorder="1" applyAlignment="1">
      <alignment horizontal="center" vertical="center" wrapText="1"/>
    </xf>
    <xf numFmtId="0" fontId="46" fillId="7" borderId="19" xfId="0" applyFont="1" applyFill="1" applyBorder="1" applyAlignment="1">
      <alignment horizontal="center" vertical="center" wrapText="1"/>
    </xf>
    <xf numFmtId="0" fontId="13" fillId="8" borderId="21" xfId="0" applyFont="1" applyFill="1" applyBorder="1" applyAlignment="1">
      <alignment horizontal="center" wrapText="1"/>
    </xf>
    <xf numFmtId="0" fontId="13" fillId="8" borderId="19" xfId="0" applyFont="1" applyFill="1" applyBorder="1" applyAlignment="1">
      <alignment horizontal="center" wrapText="1"/>
    </xf>
    <xf numFmtId="0" fontId="25" fillId="8" borderId="11" xfId="0" applyFont="1" applyFill="1" applyBorder="1"/>
    <xf numFmtId="0" fontId="25" fillId="0" borderId="12" xfId="0" applyFont="1" applyBorder="1"/>
    <xf numFmtId="0" fontId="25" fillId="8" borderId="20" xfId="0" applyFont="1" applyFill="1" applyBorder="1"/>
    <xf numFmtId="0" fontId="25" fillId="0" borderId="19" xfId="0" applyFont="1" applyBorder="1"/>
    <xf numFmtId="0" fontId="25" fillId="8" borderId="12" xfId="0" applyFont="1" applyFill="1" applyBorder="1"/>
    <xf numFmtId="0" fontId="25" fillId="0" borderId="21" xfId="0" applyFont="1" applyBorder="1"/>
    <xf numFmtId="0" fontId="49" fillId="24" borderId="84" xfId="0" applyFont="1" applyFill="1" applyBorder="1" applyAlignment="1">
      <alignment horizontal="center" vertical="center"/>
    </xf>
    <xf numFmtId="0" fontId="49" fillId="24" borderId="85" xfId="0" applyFont="1" applyFill="1" applyBorder="1" applyAlignment="1">
      <alignment horizontal="center" vertical="center"/>
    </xf>
    <xf numFmtId="0" fontId="49" fillId="24" borderId="86" xfId="0" applyFont="1" applyFill="1" applyBorder="1" applyAlignment="1">
      <alignment horizontal="center" vertical="center"/>
    </xf>
    <xf numFmtId="0" fontId="13" fillId="0" borderId="107" xfId="0" applyFont="1" applyBorder="1" applyAlignment="1">
      <alignment horizontal="left"/>
    </xf>
    <xf numFmtId="0" fontId="13" fillId="0" borderId="108" xfId="0" applyFont="1" applyBorder="1" applyAlignment="1">
      <alignment horizontal="left"/>
    </xf>
    <xf numFmtId="0" fontId="13" fillId="0" borderId="107" xfId="0" applyFont="1" applyBorder="1" applyAlignment="1">
      <alignment horizontal="left" vertical="center"/>
    </xf>
    <xf numFmtId="0" fontId="13" fillId="0" borderId="108" xfId="0" applyFont="1" applyBorder="1" applyAlignment="1">
      <alignment horizontal="left" vertical="center"/>
    </xf>
    <xf numFmtId="0" fontId="65" fillId="25" borderId="52" xfId="0" applyFont="1" applyFill="1" applyBorder="1" applyAlignment="1">
      <alignment horizontal="center" vertical="center"/>
    </xf>
    <xf numFmtId="0" fontId="65" fillId="25" borderId="53" xfId="0" applyFont="1" applyFill="1" applyBorder="1" applyAlignment="1">
      <alignment horizontal="center" vertical="center"/>
    </xf>
    <xf numFmtId="0" fontId="65" fillId="25" borderId="54" xfId="0" applyFont="1" applyFill="1" applyBorder="1" applyAlignment="1">
      <alignment horizontal="center" vertical="center"/>
    </xf>
    <xf numFmtId="0" fontId="47" fillId="22" borderId="14" xfId="0" applyFont="1" applyFill="1" applyBorder="1" applyAlignment="1">
      <alignment horizontal="center" vertical="center" wrapText="1"/>
    </xf>
    <xf numFmtId="0" fontId="47" fillId="22" borderId="15" xfId="0" applyFont="1" applyFill="1" applyBorder="1" applyAlignment="1">
      <alignment horizontal="center" vertical="center" wrapText="1"/>
    </xf>
    <xf numFmtId="0" fontId="47" fillId="22" borderId="22" xfId="0" applyFont="1" applyFill="1" applyBorder="1" applyAlignment="1">
      <alignment horizontal="center" vertical="center" wrapText="1"/>
    </xf>
    <xf numFmtId="0" fontId="47" fillId="23" borderId="15" xfId="0" applyFont="1" applyFill="1" applyBorder="1" applyAlignment="1">
      <alignment horizontal="center" vertical="center" wrapText="1"/>
    </xf>
    <xf numFmtId="0" fontId="47" fillId="22" borderId="20" xfId="0" applyFont="1" applyFill="1" applyBorder="1" applyAlignment="1">
      <alignment horizontal="center" vertical="center"/>
    </xf>
    <xf numFmtId="0" fontId="47" fillId="22" borderId="21" xfId="0" applyFont="1" applyFill="1" applyBorder="1" applyAlignment="1">
      <alignment horizontal="center" vertical="center"/>
    </xf>
    <xf numFmtId="0" fontId="44" fillId="22" borderId="21" xfId="0" applyFont="1" applyFill="1" applyBorder="1" applyAlignment="1">
      <alignment horizontal="center" vertical="center"/>
    </xf>
    <xf numFmtId="0" fontId="44" fillId="22" borderId="19" xfId="0" applyFont="1" applyFill="1" applyBorder="1" applyAlignment="1">
      <alignment horizontal="center" vertical="center"/>
    </xf>
    <xf numFmtId="0" fontId="47" fillId="23" borderId="14" xfId="0" applyFont="1" applyFill="1" applyBorder="1" applyAlignment="1">
      <alignment horizontal="center" vertical="center" wrapText="1"/>
    </xf>
    <xf numFmtId="0" fontId="47" fillId="23" borderId="22" xfId="0" applyFont="1" applyFill="1" applyBorder="1" applyAlignment="1">
      <alignment horizontal="center" vertical="center" wrapText="1"/>
    </xf>
    <xf numFmtId="0" fontId="47" fillId="22" borderId="20" xfId="0" applyFont="1" applyFill="1" applyBorder="1" applyAlignment="1">
      <alignment horizontal="center" vertical="center" wrapText="1"/>
    </xf>
    <xf numFmtId="0" fontId="47" fillId="22" borderId="21" xfId="0" applyFont="1" applyFill="1" applyBorder="1" applyAlignment="1">
      <alignment horizontal="center" vertical="center" wrapText="1"/>
    </xf>
    <xf numFmtId="0" fontId="47" fillId="22" borderId="19" xfId="0" applyFont="1" applyFill="1" applyBorder="1" applyAlignment="1">
      <alignment horizontal="center" vertical="center"/>
    </xf>
    <xf numFmtId="0" fontId="47" fillId="23" borderId="20" xfId="0" applyFont="1" applyFill="1" applyBorder="1" applyAlignment="1">
      <alignment horizontal="center" vertical="center" wrapText="1"/>
    </xf>
    <xf numFmtId="0" fontId="47" fillId="23" borderId="21" xfId="0" applyFont="1" applyFill="1" applyBorder="1" applyAlignment="1">
      <alignment horizontal="center" vertical="center" wrapText="1"/>
    </xf>
    <xf numFmtId="0" fontId="47" fillId="23" borderId="21" xfId="0" applyFont="1" applyFill="1" applyBorder="1" applyAlignment="1">
      <alignment horizontal="center" vertical="center"/>
    </xf>
    <xf numFmtId="0" fontId="47" fillId="23" borderId="19" xfId="0" applyFont="1" applyFill="1" applyBorder="1" applyAlignment="1">
      <alignment horizontal="center" vertical="center"/>
    </xf>
    <xf numFmtId="0" fontId="44" fillId="24" borderId="9" xfId="0" applyFont="1" applyFill="1" applyBorder="1" applyAlignment="1">
      <alignment horizontal="center" vertical="center" wrapText="1"/>
    </xf>
    <xf numFmtId="0" fontId="13" fillId="0" borderId="109" xfId="0" applyFont="1" applyBorder="1" applyAlignment="1">
      <alignment horizontal="left"/>
    </xf>
    <xf numFmtId="0" fontId="25" fillId="0" borderId="107" xfId="0" applyFont="1" applyBorder="1" applyAlignment="1">
      <alignment wrapText="1"/>
    </xf>
    <xf numFmtId="0" fontId="25" fillId="0" borderId="108" xfId="0" applyFont="1" applyBorder="1" applyAlignment="1">
      <alignment wrapText="1"/>
    </xf>
    <xf numFmtId="0" fontId="25" fillId="0" borderId="109" xfId="0" applyFont="1" applyBorder="1" applyAlignment="1">
      <alignment wrapText="1"/>
    </xf>
    <xf numFmtId="0" fontId="65" fillId="25" borderId="14" xfId="0" applyFont="1" applyFill="1" applyBorder="1" applyAlignment="1">
      <alignment horizontal="center" vertical="center"/>
    </xf>
    <xf numFmtId="0" fontId="65" fillId="25" borderId="15" xfId="0" applyFont="1" applyFill="1" applyBorder="1" applyAlignment="1">
      <alignment horizontal="center" vertical="center"/>
    </xf>
    <xf numFmtId="0" fontId="65" fillId="25" borderId="22" xfId="0" applyFont="1" applyFill="1" applyBorder="1" applyAlignment="1">
      <alignment horizontal="center" vertical="center"/>
    </xf>
    <xf numFmtId="0" fontId="44" fillId="24" borderId="23" xfId="0" applyFont="1" applyFill="1" applyBorder="1" applyAlignment="1">
      <alignment horizontal="center" vertical="center" wrapText="1"/>
    </xf>
    <xf numFmtId="0" fontId="44" fillId="24" borderId="18" xfId="0" applyFont="1" applyFill="1" applyBorder="1" applyAlignment="1">
      <alignment horizontal="center" vertical="center" wrapText="1"/>
    </xf>
    <xf numFmtId="0" fontId="44" fillId="22" borderId="20" xfId="0" applyFont="1" applyFill="1" applyBorder="1" applyAlignment="1">
      <alignment horizontal="center" vertical="center" wrapText="1"/>
    </xf>
    <xf numFmtId="0" fontId="44" fillId="22" borderId="21" xfId="0" applyFont="1" applyFill="1" applyBorder="1" applyAlignment="1">
      <alignment horizontal="center" vertical="center" wrapText="1"/>
    </xf>
    <xf numFmtId="0" fontId="44" fillId="22" borderId="19" xfId="0" applyFont="1" applyFill="1" applyBorder="1" applyAlignment="1">
      <alignment horizontal="center" vertical="center" wrapText="1"/>
    </xf>
    <xf numFmtId="0" fontId="44" fillId="23" borderId="20" xfId="0" applyFont="1" applyFill="1" applyBorder="1" applyAlignment="1">
      <alignment horizontal="center" vertical="center" wrapText="1"/>
    </xf>
    <xf numFmtId="0" fontId="44" fillId="23" borderId="21" xfId="0" applyFont="1" applyFill="1" applyBorder="1" applyAlignment="1">
      <alignment horizontal="center" vertical="center" wrapText="1"/>
    </xf>
    <xf numFmtId="0" fontId="44" fillId="23" borderId="19" xfId="0" applyFont="1" applyFill="1" applyBorder="1" applyAlignment="1">
      <alignment horizontal="center" vertical="center" wrapText="1"/>
    </xf>
    <xf numFmtId="0" fontId="47" fillId="23" borderId="19" xfId="0" applyFont="1" applyFill="1" applyBorder="1" applyAlignment="1">
      <alignment horizontal="center" vertical="center" wrapText="1"/>
    </xf>
    <xf numFmtId="0" fontId="65" fillId="25" borderId="93" xfId="0" applyFont="1" applyFill="1" applyBorder="1" applyAlignment="1">
      <alignment horizontal="center" vertical="center"/>
    </xf>
    <xf numFmtId="0" fontId="47" fillId="22" borderId="19" xfId="0" applyFont="1" applyFill="1" applyBorder="1" applyAlignment="1">
      <alignment horizontal="center" vertical="center" wrapText="1"/>
    </xf>
    <xf numFmtId="0" fontId="25" fillId="0" borderId="0" xfId="0" applyFont="1" applyAlignment="1">
      <alignment wrapText="1"/>
    </xf>
    <xf numFmtId="0" fontId="51" fillId="0" borderId="0" xfId="0" applyFont="1" applyAlignment="1">
      <alignment wrapText="1"/>
    </xf>
    <xf numFmtId="0" fontId="0" fillId="0" borderId="10" xfId="0" applyBorder="1" applyAlignment="1">
      <alignment vertical="center" wrapText="1"/>
    </xf>
    <xf numFmtId="0" fontId="72" fillId="20" borderId="0" xfId="0" applyFont="1" applyFill="1" applyAlignment="1">
      <alignment horizontal="center" vertical="center"/>
    </xf>
    <xf numFmtId="0" fontId="25" fillId="0" borderId="14" xfId="0" applyFont="1" applyBorder="1" applyAlignment="1">
      <alignment horizontal="center"/>
    </xf>
    <xf numFmtId="0" fontId="25" fillId="0" borderId="22" xfId="0" applyFont="1" applyBorder="1" applyAlignment="1">
      <alignment horizontal="center"/>
    </xf>
    <xf numFmtId="0" fontId="25" fillId="0" borderId="9" xfId="0" applyFont="1" applyBorder="1" applyAlignment="1">
      <alignment horizontal="center"/>
    </xf>
    <xf numFmtId="0" fontId="25" fillId="0" borderId="10" xfId="0" applyFont="1" applyBorder="1" applyAlignment="1">
      <alignment horizontal="center"/>
    </xf>
    <xf numFmtId="0" fontId="25" fillId="0" borderId="14" xfId="0" applyFont="1" applyBorder="1" applyAlignment="1">
      <alignment vertical="center" wrapText="1"/>
    </xf>
    <xf numFmtId="0" fontId="25" fillId="0" borderId="15" xfId="0" applyFont="1" applyBorder="1" applyAlignment="1">
      <alignment vertical="center" wrapText="1"/>
    </xf>
    <xf numFmtId="0" fontId="25" fillId="0" borderId="22" xfId="0" applyFont="1" applyBorder="1" applyAlignment="1">
      <alignment vertical="center" wrapText="1"/>
    </xf>
    <xf numFmtId="0" fontId="13" fillId="8" borderId="20" xfId="0" applyFont="1" applyFill="1" applyBorder="1" applyAlignment="1">
      <alignment wrapText="1"/>
    </xf>
    <xf numFmtId="0" fontId="13" fillId="8" borderId="21" xfId="0" applyFont="1" applyFill="1" applyBorder="1" applyAlignment="1">
      <alignment wrapText="1"/>
    </xf>
    <xf numFmtId="0" fontId="13" fillId="8" borderId="19" xfId="0" applyFont="1" applyFill="1" applyBorder="1" applyAlignment="1">
      <alignment wrapText="1"/>
    </xf>
    <xf numFmtId="0" fontId="25" fillId="0" borderId="15" xfId="0" applyFont="1" applyBorder="1" applyAlignment="1">
      <alignment horizontal="left" vertical="center" wrapText="1"/>
    </xf>
    <xf numFmtId="0" fontId="25" fillId="0" borderId="12" xfId="0" applyFont="1"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cellXfs>
  <cellStyles count="67">
    <cellStyle name="2x indented GHG Textfiels" xfId="1" xr:uid="{00000000-0005-0000-0000-000000000000}"/>
    <cellStyle name="5x indented GHG Textfiels" xfId="2" xr:uid="{00000000-0005-0000-0000-000001000000}"/>
    <cellStyle name="Bold GHG Numbers (0.00)" xfId="3" xr:uid="{00000000-0005-0000-0000-000002000000}"/>
    <cellStyle name="Column heading" xfId="4" xr:uid="{00000000-0005-0000-0000-000003000000}"/>
    <cellStyle name="Comma" xfId="65" builtinId="3"/>
    <cellStyle name="Comma0" xfId="5" xr:uid="{00000000-0005-0000-0000-000004000000}"/>
    <cellStyle name="Corner heading" xfId="6" xr:uid="{00000000-0005-0000-0000-000005000000}"/>
    <cellStyle name="Currency0" xfId="7" xr:uid="{00000000-0005-0000-0000-000006000000}"/>
    <cellStyle name="Data" xfId="8" xr:uid="{00000000-0005-0000-0000-000007000000}"/>
    <cellStyle name="Data no deci" xfId="9" xr:uid="{00000000-0005-0000-0000-000008000000}"/>
    <cellStyle name="Data Superscript" xfId="10" xr:uid="{00000000-0005-0000-0000-000009000000}"/>
    <cellStyle name="Data_1-1A-Regular" xfId="11" xr:uid="{00000000-0005-0000-0000-00000A000000}"/>
    <cellStyle name="Data-one deci" xfId="12" xr:uid="{00000000-0005-0000-0000-00000B000000}"/>
    <cellStyle name="Date" xfId="13" xr:uid="{00000000-0005-0000-0000-00000C000000}"/>
    <cellStyle name="Fixed" xfId="14" xr:uid="{00000000-0005-0000-0000-00000D000000}"/>
    <cellStyle name="Heading 1" xfId="15" builtinId="16" customBuiltin="1"/>
    <cellStyle name="Heading 2" xfId="16" builtinId="17" customBuiltin="1"/>
    <cellStyle name="Headline" xfId="17" xr:uid="{00000000-0005-0000-0000-000010000000}"/>
    <cellStyle name="Hed Side" xfId="18" xr:uid="{00000000-0005-0000-0000-000011000000}"/>
    <cellStyle name="Hed Side bold" xfId="19" xr:uid="{00000000-0005-0000-0000-000012000000}"/>
    <cellStyle name="Hed Side Indent" xfId="20" xr:uid="{00000000-0005-0000-0000-000013000000}"/>
    <cellStyle name="Hed Side Regular" xfId="21" xr:uid="{00000000-0005-0000-0000-000014000000}"/>
    <cellStyle name="Hed Side_1-1A-Regular" xfId="22" xr:uid="{00000000-0005-0000-0000-000015000000}"/>
    <cellStyle name="Hed Top" xfId="23" xr:uid="{00000000-0005-0000-0000-000016000000}"/>
    <cellStyle name="Hed Top - SECTION" xfId="24" xr:uid="{00000000-0005-0000-0000-000017000000}"/>
    <cellStyle name="Hed Top_3-new4" xfId="25" xr:uid="{00000000-0005-0000-0000-000018000000}"/>
    <cellStyle name="Hyperlink" xfId="26" builtinId="8"/>
    <cellStyle name="Hyperlink 2" xfId="66" xr:uid="{47A96C0E-A72A-4B3A-962A-E650FB627AB0}"/>
    <cellStyle name="Milliers [0]_Annex_comb_guideline_version4-2" xfId="27" xr:uid="{00000000-0005-0000-0000-00001A000000}"/>
    <cellStyle name="Milliers_Annex_comb_guideline_version4-2" xfId="28" xr:uid="{00000000-0005-0000-0000-00001B000000}"/>
    <cellStyle name="Monétaire [0]_Annex comb guideline 4-7" xfId="29" xr:uid="{00000000-0005-0000-0000-00001C000000}"/>
    <cellStyle name="Monétaire_Annex_comb_guideline_version4-2" xfId="30" xr:uid="{00000000-0005-0000-0000-00001D000000}"/>
    <cellStyle name="Normal" xfId="0" builtinId="0"/>
    <cellStyle name="Normal 2" xfId="63" xr:uid="{00000000-0005-0000-0000-00001F000000}"/>
    <cellStyle name="Normal GHG Numbers (0.00)" xfId="31" xr:uid="{00000000-0005-0000-0000-000020000000}"/>
    <cellStyle name="Normal GHG Textfiels Bold" xfId="32" xr:uid="{00000000-0005-0000-0000-000021000000}"/>
    <cellStyle name="Normal GHG whole table" xfId="33" xr:uid="{00000000-0005-0000-0000-000022000000}"/>
    <cellStyle name="Normal GHG-Shade" xfId="34" xr:uid="{00000000-0005-0000-0000-000023000000}"/>
    <cellStyle name="Normal_Stationary_combustion_tool_GL1" xfId="64" xr:uid="{7BE42880-BF57-444C-9B9E-075DA6189235}"/>
    <cellStyle name="Pattern" xfId="35" xr:uid="{00000000-0005-0000-0000-000024000000}"/>
    <cellStyle name="Reference" xfId="36" xr:uid="{00000000-0005-0000-0000-000025000000}"/>
    <cellStyle name="Row heading" xfId="37" xr:uid="{00000000-0005-0000-0000-000026000000}"/>
    <cellStyle name="Source Hed" xfId="38" xr:uid="{00000000-0005-0000-0000-000027000000}"/>
    <cellStyle name="Source Letter" xfId="39" xr:uid="{00000000-0005-0000-0000-000028000000}"/>
    <cellStyle name="Source Superscript" xfId="40" xr:uid="{00000000-0005-0000-0000-000029000000}"/>
    <cellStyle name="Source Text" xfId="41" xr:uid="{00000000-0005-0000-0000-00002A000000}"/>
    <cellStyle name="Standard_CRF Inventar" xfId="42" xr:uid="{00000000-0005-0000-0000-00002B000000}"/>
    <cellStyle name="State" xfId="43" xr:uid="{00000000-0005-0000-0000-00002C000000}"/>
    <cellStyle name="Superscript" xfId="44" xr:uid="{00000000-0005-0000-0000-00002D000000}"/>
    <cellStyle name="Superscript- regular" xfId="45" xr:uid="{00000000-0005-0000-0000-00002E000000}"/>
    <cellStyle name="Superscript_1-1A-Regular" xfId="46" xr:uid="{00000000-0005-0000-0000-00002F000000}"/>
    <cellStyle name="Table Data" xfId="47" xr:uid="{00000000-0005-0000-0000-000030000000}"/>
    <cellStyle name="Table Head Top" xfId="48" xr:uid="{00000000-0005-0000-0000-000031000000}"/>
    <cellStyle name="Table Hed Side" xfId="49" xr:uid="{00000000-0005-0000-0000-000032000000}"/>
    <cellStyle name="Table Title" xfId="50" xr:uid="{00000000-0005-0000-0000-000033000000}"/>
    <cellStyle name="Title Text" xfId="51" xr:uid="{00000000-0005-0000-0000-000034000000}"/>
    <cellStyle name="Title Text 1" xfId="52" xr:uid="{00000000-0005-0000-0000-000035000000}"/>
    <cellStyle name="Title Text 2" xfId="53" xr:uid="{00000000-0005-0000-0000-000036000000}"/>
    <cellStyle name="Title-1" xfId="54" xr:uid="{00000000-0005-0000-0000-000037000000}"/>
    <cellStyle name="Title-2" xfId="55" xr:uid="{00000000-0005-0000-0000-000038000000}"/>
    <cellStyle name="Title-3" xfId="56" xr:uid="{00000000-0005-0000-0000-000039000000}"/>
    <cellStyle name="Total" xfId="57" builtinId="25" customBuiltin="1"/>
    <cellStyle name="Wrap" xfId="58" xr:uid="{00000000-0005-0000-0000-00003B000000}"/>
    <cellStyle name="Wrap Bold" xfId="59" xr:uid="{00000000-0005-0000-0000-00003C000000}"/>
    <cellStyle name="Wrap Title" xfId="60" xr:uid="{00000000-0005-0000-0000-00003D000000}"/>
    <cellStyle name="Wrap_NTS99-~11" xfId="61" xr:uid="{00000000-0005-0000-0000-00003E000000}"/>
    <cellStyle name="標準_CRF1999" xfId="62" xr:uid="{00000000-0005-0000-0000-00003F000000}"/>
  </cellStyles>
  <dxfs count="5">
    <dxf>
      <fill>
        <patternFill patternType="lightTrellis">
          <fgColor theme="9" tint="0.59996337778862885"/>
          <bgColor theme="8"/>
        </patternFill>
      </fill>
    </dxf>
    <dxf>
      <fill>
        <patternFill patternType="gray125">
          <fgColor theme="0" tint="-4.9989318521683403E-2"/>
          <bgColor theme="9" tint="0.79995117038483843"/>
        </patternFill>
      </fill>
    </dxf>
    <dxf>
      <fill>
        <patternFill patternType="solid">
          <bgColor theme="0" tint="-4.9989318521683403E-2"/>
        </patternFill>
      </fill>
    </dxf>
    <dxf>
      <fill>
        <patternFill>
          <bgColor theme="0" tint="-4.9989318521683403E-2"/>
        </patternFill>
      </fill>
    </dxf>
    <dxf>
      <fill>
        <patternFill patternType="solid">
          <bgColor theme="0" tint="-4.9989318521683403E-2"/>
        </patternFill>
      </fill>
    </dxf>
  </dxfs>
  <tableStyles count="0" defaultTableStyle="TableStyleMedium9" defaultPivotStyle="PivotStyleLight16"/>
  <colors>
    <mruColors>
      <color rgb="FF00ACA2"/>
      <color rgb="FF00423F"/>
      <color rgb="FF73C1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23/09/relationships/Python" Target="python.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hyperlink" Target="#'2. Settings'!A1"/><Relationship Id="rId2" Type="http://schemas.openxmlformats.org/officeDocument/2006/relationships/hyperlink" Target="#'1. Introduction'!A1"/><Relationship Id="rId1" Type="http://schemas.openxmlformats.org/officeDocument/2006/relationships/image" Target="../media/image1.png"/><Relationship Id="rId4" Type="http://schemas.openxmlformats.org/officeDocument/2006/relationships/hyperlink" Target="#'3. Calculator'!A1"/></Relationships>
</file>

<file path=xl/drawings/_rels/drawing2.xml.rels><?xml version="1.0" encoding="UTF-8" standalone="yes"?>
<Relationships xmlns="http://schemas.openxmlformats.org/package/2006/relationships"><Relationship Id="rId3" Type="http://schemas.openxmlformats.org/officeDocument/2006/relationships/hyperlink" Target="#'Welcome!'!A1"/><Relationship Id="rId2" Type="http://schemas.openxmlformats.org/officeDocument/2006/relationships/image" Target="../media/image2.jpeg"/><Relationship Id="rId1" Type="http://schemas.openxmlformats.org/officeDocument/2006/relationships/hyperlink" Target="https://www.ipcc-nggip.iges.or.jp/public/2006gl/index.html" TargetMode="External"/><Relationship Id="rId5" Type="http://schemas.openxmlformats.org/officeDocument/2006/relationships/hyperlink" Target="#'3. Actvity Data'!A1"/><Relationship Id="rId4" Type="http://schemas.openxmlformats.org/officeDocument/2006/relationships/hyperlink" Target="#'2. Settings'!A1"/></Relationships>
</file>

<file path=xl/drawings/_rels/drawing3.xml.rels><?xml version="1.0" encoding="UTF-8" standalone="yes"?>
<Relationships xmlns="http://schemas.openxmlformats.org/package/2006/relationships"><Relationship Id="rId3" Type="http://schemas.openxmlformats.org/officeDocument/2006/relationships/hyperlink" Target="#'3. Calculator'!A1"/><Relationship Id="rId2" Type="http://schemas.openxmlformats.org/officeDocument/2006/relationships/hyperlink" Target="#'1. Introduction'!A1"/><Relationship Id="rId1" Type="http://schemas.openxmlformats.org/officeDocument/2006/relationships/hyperlink" Target="#'Welcome!'!A1"/><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2. Settings'!A1"/><Relationship Id="rId7" Type="http://schemas.openxmlformats.org/officeDocument/2006/relationships/image" Target="../media/image6.png"/><Relationship Id="rId2" Type="http://schemas.openxmlformats.org/officeDocument/2006/relationships/hyperlink" Target="#'1. Introduction'!A1"/><Relationship Id="rId1" Type="http://schemas.openxmlformats.org/officeDocument/2006/relationships/hyperlink" Target="#'Welcome!'!A1"/><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2. Settings'!A1"/><Relationship Id="rId2" Type="http://schemas.openxmlformats.org/officeDocument/2006/relationships/hyperlink" Target="#'1. Introduction'!A1"/><Relationship Id="rId1" Type="http://schemas.openxmlformats.org/officeDocument/2006/relationships/hyperlink" Target="#'Welcome!'!A1"/><Relationship Id="rId4" Type="http://schemas.openxmlformats.org/officeDocument/2006/relationships/hyperlink" Target="#'3. Calculator'!A1"/></Relationships>
</file>

<file path=xl/drawings/drawing1.xml><?xml version="1.0" encoding="utf-8"?>
<xdr:wsDr xmlns:xdr="http://schemas.openxmlformats.org/drawingml/2006/spreadsheetDrawing" xmlns:a="http://schemas.openxmlformats.org/drawingml/2006/main">
  <xdr:twoCellAnchor editAs="oneCell">
    <xdr:from>
      <xdr:col>0</xdr:col>
      <xdr:colOff>361287</xdr:colOff>
      <xdr:row>0</xdr:row>
      <xdr:rowOff>57318</xdr:rowOff>
    </xdr:from>
    <xdr:to>
      <xdr:col>1</xdr:col>
      <xdr:colOff>2915892</xdr:colOff>
      <xdr:row>5</xdr:row>
      <xdr:rowOff>21504</xdr:rowOff>
    </xdr:to>
    <xdr:pic>
      <xdr:nvPicPr>
        <xdr:cNvPr id="2" name="Picture 1">
          <a:extLst>
            <a:ext uri="{FF2B5EF4-FFF2-40B4-BE49-F238E27FC236}">
              <a16:creationId xmlns:a16="http://schemas.microsoft.com/office/drawing/2014/main" id="{BFB53DA8-5A72-4866-B932-0D089278D9B5}"/>
            </a:ext>
          </a:extLst>
        </xdr:cNvPr>
        <xdr:cNvPicPr>
          <a:picLocks noChangeAspect="1"/>
        </xdr:cNvPicPr>
      </xdr:nvPicPr>
      <xdr:blipFill>
        <a:blip xmlns:r="http://schemas.openxmlformats.org/officeDocument/2006/relationships" r:embed="rId1"/>
        <a:stretch>
          <a:fillRect/>
        </a:stretch>
      </xdr:blipFill>
      <xdr:spPr>
        <a:xfrm>
          <a:off x="361287" y="57318"/>
          <a:ext cx="2916555" cy="773811"/>
        </a:xfrm>
        <a:prstGeom prst="rect">
          <a:avLst/>
        </a:prstGeom>
      </xdr:spPr>
    </xdr:pic>
    <xdr:clientData/>
  </xdr:twoCellAnchor>
  <xdr:twoCellAnchor>
    <xdr:from>
      <xdr:col>1</xdr:col>
      <xdr:colOff>0</xdr:colOff>
      <xdr:row>6</xdr:row>
      <xdr:rowOff>38100</xdr:rowOff>
    </xdr:from>
    <xdr:to>
      <xdr:col>2</xdr:col>
      <xdr:colOff>0</xdr:colOff>
      <xdr:row>7</xdr:row>
      <xdr:rowOff>151415</xdr:rowOff>
    </xdr:to>
    <xdr:grpSp>
      <xdr:nvGrpSpPr>
        <xdr:cNvPr id="3" name="Group 2">
          <a:extLst>
            <a:ext uri="{FF2B5EF4-FFF2-40B4-BE49-F238E27FC236}">
              <a16:creationId xmlns:a16="http://schemas.microsoft.com/office/drawing/2014/main" id="{01C90781-A89E-45F1-B7ED-D035026A81EC}"/>
            </a:ext>
          </a:extLst>
        </xdr:cNvPr>
        <xdr:cNvGrpSpPr/>
      </xdr:nvGrpSpPr>
      <xdr:grpSpPr>
        <a:xfrm>
          <a:off x="371475" y="1066800"/>
          <a:ext cx="9124950" cy="284765"/>
          <a:chOff x="546537" y="13137"/>
          <a:chExt cx="4025464" cy="256190"/>
        </a:xfrm>
      </xdr:grpSpPr>
      <xdr:sp macro="" textlink="">
        <xdr:nvSpPr>
          <xdr:cNvPr id="4" name="Rectangle 3">
            <a:extLst>
              <a:ext uri="{FF2B5EF4-FFF2-40B4-BE49-F238E27FC236}">
                <a16:creationId xmlns:a16="http://schemas.microsoft.com/office/drawing/2014/main" id="{D49774B7-9F51-7D1E-8AE8-12CF0A34E2A5}"/>
              </a:ext>
            </a:extLst>
          </xdr:cNvPr>
          <xdr:cNvSpPr/>
        </xdr:nvSpPr>
        <xdr:spPr>
          <a:xfrm>
            <a:off x="546537" y="13137"/>
            <a:ext cx="1010308"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Welcome</a:t>
            </a:r>
          </a:p>
        </xdr:txBody>
      </xdr:sp>
      <xdr:sp macro="" textlink="">
        <xdr:nvSpPr>
          <xdr:cNvPr id="5" name="Rectangle 4">
            <a:hlinkClick xmlns:r="http://schemas.openxmlformats.org/officeDocument/2006/relationships" r:id="rId2"/>
            <a:extLst>
              <a:ext uri="{FF2B5EF4-FFF2-40B4-BE49-F238E27FC236}">
                <a16:creationId xmlns:a16="http://schemas.microsoft.com/office/drawing/2014/main" id="{E1737CB6-DA04-F012-3751-A7E0F6AAED5F}"/>
              </a:ext>
            </a:extLst>
          </xdr:cNvPr>
          <xdr:cNvSpPr/>
        </xdr:nvSpPr>
        <xdr:spPr>
          <a:xfrm>
            <a:off x="1551589" y="13137"/>
            <a:ext cx="1056290"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p>
        </xdr:txBody>
      </xdr:sp>
      <xdr:sp macro="" textlink="">
        <xdr:nvSpPr>
          <xdr:cNvPr id="6" name="Rectangle 5">
            <a:hlinkClick xmlns:r="http://schemas.openxmlformats.org/officeDocument/2006/relationships" r:id="rId3"/>
            <a:extLst>
              <a:ext uri="{FF2B5EF4-FFF2-40B4-BE49-F238E27FC236}">
                <a16:creationId xmlns:a16="http://schemas.microsoft.com/office/drawing/2014/main" id="{0EDF5E22-0BFB-2E28-CD04-43AB5037B2F2}"/>
              </a:ext>
            </a:extLst>
          </xdr:cNvPr>
          <xdr:cNvSpPr/>
        </xdr:nvSpPr>
        <xdr:spPr>
          <a:xfrm>
            <a:off x="2602623" y="13137"/>
            <a:ext cx="872359"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solidFill>
            </a:endParaRPr>
          </a:p>
        </xdr:txBody>
      </xdr:sp>
      <xdr:sp macro="" textlink="">
        <xdr:nvSpPr>
          <xdr:cNvPr id="7" name="Rectangle 6">
            <a:hlinkClick xmlns:r="http://schemas.openxmlformats.org/officeDocument/2006/relationships" r:id="rId4"/>
            <a:extLst>
              <a:ext uri="{FF2B5EF4-FFF2-40B4-BE49-F238E27FC236}">
                <a16:creationId xmlns:a16="http://schemas.microsoft.com/office/drawing/2014/main" id="{FEDF6B16-1F93-7BDD-AFDB-005A6553A208}"/>
              </a:ext>
            </a:extLst>
          </xdr:cNvPr>
          <xdr:cNvSpPr/>
        </xdr:nvSpPr>
        <xdr:spPr>
          <a:xfrm>
            <a:off x="3469726" y="13137"/>
            <a:ext cx="110227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a:p>
            <a:pPr algn="ctr"/>
            <a:endParaRPr lang="en-US" sz="1100">
              <a:solidFill>
                <a:schemeClr val="bg1">
                  <a:lumMod val="65000"/>
                </a:schemeClr>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114555</xdr:colOff>
      <xdr:row>60</xdr:row>
      <xdr:rowOff>137214</xdr:rowOff>
    </xdr:from>
    <xdr:to>
      <xdr:col>13</xdr:col>
      <xdr:colOff>158004</xdr:colOff>
      <xdr:row>66</xdr:row>
      <xdr:rowOff>41414</xdr:rowOff>
    </xdr:to>
    <xdr:sp macro="" textlink="">
      <xdr:nvSpPr>
        <xdr:cNvPr id="5129" name="Text Box 9">
          <a:hlinkClick xmlns:r="http://schemas.openxmlformats.org/officeDocument/2006/relationships" r:id="rId1"/>
          <a:extLst>
            <a:ext uri="{FF2B5EF4-FFF2-40B4-BE49-F238E27FC236}">
              <a16:creationId xmlns:a16="http://schemas.microsoft.com/office/drawing/2014/main" id="{00000000-0008-0000-0000-000009140000}"/>
            </a:ext>
          </a:extLst>
        </xdr:cNvPr>
        <xdr:cNvSpPr txBox="1">
          <a:spLocks noChangeArrowheads="1"/>
        </xdr:cNvSpPr>
      </xdr:nvSpPr>
      <xdr:spPr bwMode="auto">
        <a:xfrm>
          <a:off x="686055" y="13505344"/>
          <a:ext cx="7655166" cy="898113"/>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ACA2"/>
              </a:solidFill>
              <a:latin typeface="Arial"/>
              <a:cs typeface="Arial"/>
            </a:rPr>
            <a:t>Acknowledgements:</a:t>
          </a:r>
          <a:endParaRPr lang="en-US" sz="1200" b="0" i="0" u="sng" strike="noStrike" baseline="0">
            <a:solidFill>
              <a:srgbClr val="00ACA2"/>
            </a:solidFill>
            <a:latin typeface="Arial"/>
            <a:cs typeface="Arial"/>
          </a:endParaRPr>
        </a:p>
        <a:p>
          <a:pPr algn="l" rtl="0">
            <a:defRPr sz="1000"/>
          </a:pPr>
          <a:r>
            <a:rPr lang="en-US" sz="1200" b="0" i="0" u="none" strike="noStrike" baseline="0">
              <a:solidFill>
                <a:srgbClr val="000000"/>
              </a:solidFill>
              <a:latin typeface="Arial"/>
              <a:cs typeface="Arial"/>
            </a:rPr>
            <a:t>The emission factors used in this tool come from the </a:t>
          </a:r>
          <a:r>
            <a:rPr lang="en-US" sz="1200" b="0" i="0" u="sng" strike="noStrike" baseline="0">
              <a:solidFill>
                <a:srgbClr val="000000"/>
              </a:solidFill>
              <a:latin typeface="Arial"/>
              <a:cs typeface="Arial"/>
            </a:rPr>
            <a:t>2006 IPCC Guidelines for National Greenhouse Gas Inventories</a:t>
          </a:r>
          <a:r>
            <a:rPr lang="en-US" sz="1200" b="0" i="0" u="none" strike="noStrike" baseline="0">
              <a:solidFill>
                <a:srgbClr val="000000"/>
              </a:solidFill>
              <a:latin typeface="Arial"/>
              <a:cs typeface="Arial"/>
            </a:rPr>
            <a:t>.</a:t>
          </a:r>
        </a:p>
      </xdr:txBody>
    </xdr:sp>
    <xdr:clientData/>
  </xdr:twoCellAnchor>
  <xdr:twoCellAnchor>
    <xdr:from>
      <xdr:col>1</xdr:col>
      <xdr:colOff>0</xdr:colOff>
      <xdr:row>4</xdr:row>
      <xdr:rowOff>33131</xdr:rowOff>
    </xdr:from>
    <xdr:to>
      <xdr:col>15</xdr:col>
      <xdr:colOff>22491</xdr:colOff>
      <xdr:row>17</xdr:row>
      <xdr:rowOff>0</xdr:rowOff>
    </xdr:to>
    <xdr:sp macro="" textlink="">
      <xdr:nvSpPr>
        <xdr:cNvPr id="5132" name="Text Box 12">
          <a:extLst>
            <a:ext uri="{FF2B5EF4-FFF2-40B4-BE49-F238E27FC236}">
              <a16:creationId xmlns:a16="http://schemas.microsoft.com/office/drawing/2014/main" id="{00000000-0008-0000-0000-00000C140000}"/>
            </a:ext>
          </a:extLst>
        </xdr:cNvPr>
        <xdr:cNvSpPr txBox="1">
          <a:spLocks noChangeArrowheads="1"/>
        </xdr:cNvSpPr>
      </xdr:nvSpPr>
      <xdr:spPr bwMode="auto">
        <a:xfrm>
          <a:off x="659423" y="1014939"/>
          <a:ext cx="8184683" cy="2340792"/>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n-US" sz="1200" b="0" i="0" u="none" strike="noStrike" baseline="0">
              <a:solidFill>
                <a:sysClr val="windowText" lastClr="000000"/>
              </a:solidFill>
              <a:latin typeface="Arial"/>
              <a:cs typeface="Arial"/>
            </a:rPr>
            <a:t>This tool calculates the CO</a:t>
          </a:r>
          <a:r>
            <a:rPr lang="en-US" sz="1200" b="0" i="0" u="none" strike="noStrike" baseline="-25000">
              <a:solidFill>
                <a:sysClr val="windowText" lastClr="000000"/>
              </a:solidFill>
              <a:latin typeface="Arial"/>
              <a:cs typeface="Arial"/>
            </a:rPr>
            <a:t>2</a:t>
          </a:r>
          <a:r>
            <a:rPr lang="en-US" sz="1200" b="0" i="0" u="none" strike="noStrike" baseline="0">
              <a:solidFill>
                <a:sysClr val="windowText" lastClr="000000"/>
              </a:solidFill>
              <a:latin typeface="Arial"/>
              <a:cs typeface="Arial"/>
            </a:rPr>
            <a:t>, CH</a:t>
          </a:r>
          <a:r>
            <a:rPr lang="en-US" sz="1200" b="0" i="0" u="none" strike="noStrike" baseline="-25000">
              <a:solidFill>
                <a:sysClr val="windowText" lastClr="000000"/>
              </a:solidFill>
              <a:latin typeface="Arial"/>
              <a:cs typeface="Arial"/>
            </a:rPr>
            <a:t>4</a:t>
          </a:r>
          <a:r>
            <a:rPr lang="en-US" sz="1200" b="0" i="0" u="none" strike="noStrike" baseline="0">
              <a:solidFill>
                <a:sysClr val="windowText" lastClr="000000"/>
              </a:solidFill>
              <a:latin typeface="Arial"/>
              <a:cs typeface="Arial"/>
            </a:rPr>
            <a:t> and N</a:t>
          </a:r>
          <a:r>
            <a:rPr lang="en-US" sz="1200" b="0" i="0" u="none" strike="noStrike" baseline="-25000">
              <a:solidFill>
                <a:sysClr val="windowText" lastClr="000000"/>
              </a:solidFill>
              <a:latin typeface="Arial"/>
              <a:cs typeface="Arial"/>
            </a:rPr>
            <a:t>2</a:t>
          </a:r>
          <a:r>
            <a:rPr lang="en-US" sz="1200" b="0" i="0" u="none" strike="noStrike" baseline="0">
              <a:solidFill>
                <a:sysClr val="windowText" lastClr="000000"/>
              </a:solidFill>
              <a:latin typeface="Arial"/>
              <a:cs typeface="Arial"/>
            </a:rPr>
            <a:t>O emissions from the combustion of fuels in boilers, furnaces, and other stationary combustion equipment. It can be used by organizations from any industry sector.</a:t>
          </a:r>
        </a:p>
        <a:p>
          <a:pPr algn="l" rtl="0">
            <a:defRPr sz="1000"/>
          </a:pPr>
          <a:endParaRPr lang="en-US" sz="1200" b="0" i="0" u="none" strike="noStrike" baseline="0">
            <a:solidFill>
              <a:sysClr val="windowText" lastClr="000000"/>
            </a:solidFill>
            <a:latin typeface="Arial"/>
            <a:cs typeface="Arial"/>
          </a:endParaRPr>
        </a:p>
        <a:p>
          <a:pPr algn="l" rtl="0">
            <a:defRPr sz="1000"/>
          </a:pPr>
          <a:r>
            <a:rPr lang="en-US" sz="1200" b="0" i="0" u="none" strike="noStrike" baseline="0">
              <a:solidFill>
                <a:sysClr val="windowText" lastClr="000000"/>
              </a:solidFill>
              <a:latin typeface="Arial"/>
              <a:cs typeface="Arial"/>
            </a:rPr>
            <a:t>When using this calculator, you supply information on the type and amount of fuel combusted, industry/sector type, and, if needed, the fuel's density and calorific value (also referred to as heat content). Emissions are then automatically calculated using 2006 IPCC Guidelines default emission factors, which the calculators identifies based on the user's data. You must select a sector before the CH</a:t>
          </a:r>
          <a:r>
            <a:rPr lang="en-US" sz="1200" b="0" i="0" u="none" strike="noStrike" baseline="-25000">
              <a:solidFill>
                <a:sysClr val="windowText" lastClr="000000"/>
              </a:solidFill>
              <a:latin typeface="Arial"/>
              <a:cs typeface="Arial"/>
            </a:rPr>
            <a:t>4</a:t>
          </a:r>
          <a:r>
            <a:rPr lang="en-US" sz="1200" b="0" i="0" u="none" strike="noStrike" baseline="0">
              <a:solidFill>
                <a:sysClr val="windowText" lastClr="000000"/>
              </a:solidFill>
              <a:latin typeface="Arial"/>
              <a:cs typeface="Arial"/>
            </a:rPr>
            <a:t> and N</a:t>
          </a:r>
          <a:r>
            <a:rPr lang="en-US" sz="1200" b="0" i="0" u="none" strike="noStrike" baseline="-25000">
              <a:solidFill>
                <a:sysClr val="windowText" lastClr="000000"/>
              </a:solidFill>
              <a:latin typeface="Arial"/>
              <a:cs typeface="Arial"/>
            </a:rPr>
            <a:t>2</a:t>
          </a:r>
          <a:r>
            <a:rPr lang="en-US" sz="1200" b="0" i="0" u="none" strike="noStrike" baseline="0">
              <a:solidFill>
                <a:sysClr val="windowText" lastClr="000000"/>
              </a:solidFill>
              <a:latin typeface="Arial"/>
              <a:cs typeface="Arial"/>
            </a:rPr>
            <a:t>O emissions can be calculated. </a:t>
          </a:r>
        </a:p>
        <a:p>
          <a:pPr algn="l" rtl="0">
            <a:defRPr sz="1000"/>
          </a:pPr>
          <a:endParaRPr lang="en-US" sz="1200" b="0" i="0" u="none" strike="noStrike" baseline="0">
            <a:solidFill>
              <a:sysClr val="windowText" lastClr="000000"/>
            </a:solidFill>
            <a:latin typeface="Arial"/>
            <a:cs typeface="Arial"/>
          </a:endParaRPr>
        </a:p>
        <a:p>
          <a:pPr algn="l" rtl="0">
            <a:defRPr sz="1000"/>
          </a:pPr>
          <a:r>
            <a:rPr lang="en-US" sz="1200" b="1" i="0" u="none" strike="noStrike" baseline="0">
              <a:solidFill>
                <a:srgbClr val="00ACA2"/>
              </a:solidFill>
              <a:latin typeface="Arial"/>
              <a:cs typeface="Arial"/>
            </a:rPr>
            <a:t>Changing default settings in the tool</a:t>
          </a:r>
          <a:endParaRPr lang="en-US" sz="1200" b="0" i="0" u="none" strike="noStrike" baseline="0">
            <a:solidFill>
              <a:srgbClr val="00ACA2"/>
            </a:solidFill>
            <a:latin typeface="Arial"/>
            <a:cs typeface="Arial"/>
          </a:endParaRPr>
        </a:p>
        <a:p>
          <a:pPr algn="l" rtl="0">
            <a:defRPr sz="1000"/>
          </a:pPr>
          <a:r>
            <a:rPr lang="en-US" sz="1200" b="0" i="0" u="none" strike="noStrike" baseline="0">
              <a:solidFill>
                <a:sysClr val="windowText" lastClr="000000"/>
              </a:solidFill>
              <a:latin typeface="Arial"/>
              <a:cs typeface="Arial"/>
            </a:rPr>
            <a:t>The calculator functions based on default values. If you have more specific information, you can configure the calculator to accept input from custom emission factors, fuel densities, or select a different set of  global warming potentials (AR6 is applied by default) on the Settings page.</a:t>
          </a:r>
        </a:p>
      </xdr:txBody>
    </xdr:sp>
    <xdr:clientData/>
  </xdr:twoCellAnchor>
  <xdr:twoCellAnchor editAs="oneCell">
    <xdr:from>
      <xdr:col>0</xdr:col>
      <xdr:colOff>95251</xdr:colOff>
      <xdr:row>61</xdr:row>
      <xdr:rowOff>38100</xdr:rowOff>
    </xdr:from>
    <xdr:to>
      <xdr:col>1</xdr:col>
      <xdr:colOff>1</xdr:colOff>
      <xdr:row>62</xdr:row>
      <xdr:rowOff>101232</xdr:rowOff>
    </xdr:to>
    <xdr:pic>
      <xdr:nvPicPr>
        <xdr:cNvPr id="5210" name="Picture 15" descr="Pointing_Hand">
          <a:extLst>
            <a:ext uri="{FF2B5EF4-FFF2-40B4-BE49-F238E27FC236}">
              <a16:creationId xmlns:a16="http://schemas.microsoft.com/office/drawing/2014/main" id="{00000000-0008-0000-0000-00005A14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1" y="13439775"/>
          <a:ext cx="476250" cy="2307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47</xdr:row>
      <xdr:rowOff>104775</xdr:rowOff>
    </xdr:from>
    <xdr:to>
      <xdr:col>14</xdr:col>
      <xdr:colOff>190500</xdr:colOff>
      <xdr:row>56</xdr:row>
      <xdr:rowOff>43961</xdr:rowOff>
    </xdr:to>
    <xdr:sp macro="" textlink="">
      <xdr:nvSpPr>
        <xdr:cNvPr id="5169" name="Text Box 49">
          <a:extLst>
            <a:ext uri="{FF2B5EF4-FFF2-40B4-BE49-F238E27FC236}">
              <a16:creationId xmlns:a16="http://schemas.microsoft.com/office/drawing/2014/main" id="{00000000-0008-0000-0000-000031140000}"/>
            </a:ext>
          </a:extLst>
        </xdr:cNvPr>
        <xdr:cNvSpPr txBox="1">
          <a:spLocks noChangeArrowheads="1"/>
        </xdr:cNvSpPr>
      </xdr:nvSpPr>
      <xdr:spPr bwMode="auto">
        <a:xfrm>
          <a:off x="659423" y="9739679"/>
          <a:ext cx="8088923" cy="1756263"/>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ACA2"/>
              </a:solidFill>
              <a:latin typeface="Arial"/>
              <a:cs typeface="Arial"/>
            </a:rPr>
            <a:t>A note on heating values</a:t>
          </a:r>
          <a:endParaRPr lang="en-US" sz="1200" b="0" i="0" u="none" strike="noStrike" baseline="0">
            <a:solidFill>
              <a:srgbClr val="00ACA2"/>
            </a:solidFill>
            <a:latin typeface="Arial"/>
            <a:cs typeface="Arial"/>
          </a:endParaRPr>
        </a:p>
        <a:p>
          <a:pPr algn="l" rtl="0">
            <a:defRPr sz="1000"/>
          </a:pPr>
          <a:r>
            <a:rPr lang="en-US" sz="1200" b="0" i="0" u="none" strike="noStrike" baseline="0">
              <a:solidFill>
                <a:srgbClr val="000000"/>
              </a:solidFill>
              <a:latin typeface="Arial"/>
              <a:cs typeface="Arial"/>
            </a:rPr>
            <a:t>Heating (or calorific) values are important if you input fuel consumption data using energy units (e.g., GJ or MMBtu of fuel </a:t>
          </a:r>
          <a:r>
            <a:rPr lang="en-US" sz="1200" b="0" i="0" u="none" strike="noStrike" baseline="0">
              <a:solidFill>
                <a:sysClr val="windowText" lastClr="000000"/>
              </a:solidFill>
              <a:latin typeface="Arial"/>
              <a:cs typeface="Arial"/>
            </a:rPr>
            <a:t>combusted). Heating values measure the energy content of fuels and are expressed using either Higher Heating Values (HHVs; also know as Gross Calorific Values) or Lower Heating Values (LHVs; also known as Net Calorific Values). As a general rule, HHVs are used in Canada and the USA, and LHVs are used elsewhere; however, exceptions to this rule may occur. Before emissions </a:t>
          </a:r>
          <a:r>
            <a:rPr lang="en-US" sz="1200" b="0" i="0" u="none" strike="noStrike" baseline="0">
              <a:solidFill>
                <a:srgbClr val="000000"/>
              </a:solidFill>
              <a:latin typeface="Arial"/>
              <a:cs typeface="Arial"/>
            </a:rPr>
            <a:t>can be calculated properly, the fuel consumption data and corresponding emission factors must be expressed in the same way - either on a HHV basis or on an LHV basis, but not both. So, you will be asked to indicate the heating value basis that underlies any energy data you supply. This will not happen when you supply fuel use data on a mass or volume basis. </a:t>
          </a:r>
        </a:p>
      </xdr:txBody>
    </xdr:sp>
    <xdr:clientData/>
  </xdr:twoCellAnchor>
  <xdr:twoCellAnchor>
    <xdr:from>
      <xdr:col>0</xdr:col>
      <xdr:colOff>655027</xdr:colOff>
      <xdr:row>43</xdr:row>
      <xdr:rowOff>30772</xdr:rowOff>
    </xdr:from>
    <xdr:to>
      <xdr:col>14</xdr:col>
      <xdr:colOff>188302</xdr:colOff>
      <xdr:row>47</xdr:row>
      <xdr:rowOff>43960</xdr:rowOff>
    </xdr:to>
    <xdr:sp macro="" textlink="">
      <xdr:nvSpPr>
        <xdr:cNvPr id="5173" name="Text Box 53">
          <a:extLst>
            <a:ext uri="{FF2B5EF4-FFF2-40B4-BE49-F238E27FC236}">
              <a16:creationId xmlns:a16="http://schemas.microsoft.com/office/drawing/2014/main" id="{00000000-0008-0000-0000-000035140000}"/>
            </a:ext>
          </a:extLst>
        </xdr:cNvPr>
        <xdr:cNvSpPr txBox="1">
          <a:spLocks noChangeArrowheads="1"/>
        </xdr:cNvSpPr>
      </xdr:nvSpPr>
      <xdr:spPr bwMode="auto">
        <a:xfrm>
          <a:off x="655027" y="8918330"/>
          <a:ext cx="8091121" cy="863111"/>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ACA2"/>
              </a:solidFill>
              <a:latin typeface="Arial"/>
              <a:cs typeface="Arial"/>
            </a:rPr>
            <a:t>Unit conversions</a:t>
          </a:r>
        </a:p>
        <a:p>
          <a:pPr algn="l" rtl="0">
            <a:defRPr sz="1000"/>
          </a:pPr>
          <a:r>
            <a:rPr lang="en-US" sz="1200" b="0" i="0" u="none" strike="noStrike" baseline="0">
              <a:solidFill>
                <a:srgbClr val="000000"/>
              </a:solidFill>
              <a:latin typeface="Arial"/>
              <a:cs typeface="Arial"/>
            </a:rPr>
            <a:t>While this tool automatically converts data amongst different measurement units, it does not cover all possible units. To perform other conversions, the online tools at </a:t>
          </a:r>
          <a:r>
            <a:rPr lang="en-US" sz="1200" b="0" i="0" u="sng" strike="noStrike" baseline="0">
              <a:solidFill>
                <a:sysClr val="windowText" lastClr="000000"/>
              </a:solidFill>
              <a:latin typeface="Arial"/>
              <a:cs typeface="Arial"/>
            </a:rPr>
            <a:t>www.onlineconversion.com</a:t>
          </a:r>
          <a:r>
            <a:rPr lang="en-US" sz="1200" b="0" i="0" u="none" strike="noStrike" baseline="0">
              <a:solidFill>
                <a:sysClr val="windowText" lastClr="000000"/>
              </a:solidFill>
              <a:latin typeface="Arial"/>
              <a:cs typeface="Arial"/>
            </a:rPr>
            <a:t> and </a:t>
          </a:r>
          <a:r>
            <a:rPr lang="en-US" sz="1200" b="0" i="0" u="sng" strike="noStrike" baseline="0">
              <a:solidFill>
                <a:sysClr val="windowText" lastClr="000000"/>
              </a:solidFill>
              <a:latin typeface="Arial"/>
              <a:cs typeface="Arial"/>
            </a:rPr>
            <a:t>www.wolframalpha.com </a:t>
          </a:r>
          <a:r>
            <a:rPr lang="en-US" sz="1200" b="0" i="0" u="none" strike="noStrike" baseline="0">
              <a:solidFill>
                <a:sysClr val="windowText" lastClr="000000"/>
              </a:solidFill>
              <a:latin typeface="Arial"/>
              <a:cs typeface="Arial"/>
            </a:rPr>
            <a:t>may be helpful.   </a:t>
          </a:r>
        </a:p>
        <a:p>
          <a:pPr algn="l" rtl="0">
            <a:defRPr sz="1000"/>
          </a:pPr>
          <a:endParaRPr lang="en-US" sz="1200" b="0" i="0" u="none" strike="noStrike" baseline="0">
            <a:solidFill>
              <a:sysClr val="windowText" lastClr="000000"/>
            </a:solidFill>
            <a:latin typeface="Arial"/>
            <a:cs typeface="Arial"/>
          </a:endParaRPr>
        </a:p>
        <a:p>
          <a:pPr algn="l" rtl="0">
            <a:lnSpc>
              <a:spcPts val="1300"/>
            </a:lnSpc>
            <a:defRPr sz="1000"/>
          </a:pPr>
          <a:endParaRPr lang="en-US" sz="1200" b="0" i="0" u="none" strike="noStrike" baseline="0">
            <a:solidFill>
              <a:srgbClr val="000000"/>
            </a:solidFill>
            <a:latin typeface="Arial"/>
            <a:cs typeface="Arial"/>
          </a:endParaRPr>
        </a:p>
      </xdr:txBody>
    </xdr:sp>
    <xdr:clientData/>
  </xdr:twoCellAnchor>
  <xdr:twoCellAnchor>
    <xdr:from>
      <xdr:col>1</xdr:col>
      <xdr:colOff>49823</xdr:colOff>
      <xdr:row>56</xdr:row>
      <xdr:rowOff>81330</xdr:rowOff>
    </xdr:from>
    <xdr:to>
      <xdr:col>14</xdr:col>
      <xdr:colOff>227136</xdr:colOff>
      <xdr:row>60</xdr:row>
      <xdr:rowOff>73269</xdr:rowOff>
    </xdr:to>
    <xdr:sp macro="" textlink="">
      <xdr:nvSpPr>
        <xdr:cNvPr id="2" name="Text Box 49">
          <a:extLst>
            <a:ext uri="{FF2B5EF4-FFF2-40B4-BE49-F238E27FC236}">
              <a16:creationId xmlns:a16="http://schemas.microsoft.com/office/drawing/2014/main" id="{159A785E-82A7-47F3-AF33-3C414AADF53D}"/>
            </a:ext>
          </a:extLst>
        </xdr:cNvPr>
        <xdr:cNvSpPr txBox="1">
          <a:spLocks noChangeArrowheads="1"/>
        </xdr:cNvSpPr>
      </xdr:nvSpPr>
      <xdr:spPr bwMode="auto">
        <a:xfrm>
          <a:off x="709246" y="11635888"/>
          <a:ext cx="8075736" cy="121553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ACA2"/>
              </a:solidFill>
              <a:latin typeface="Arial"/>
              <a:cs typeface="Arial"/>
            </a:rPr>
            <a:t>A note on fuel density</a:t>
          </a:r>
          <a:endParaRPr lang="en-US" sz="1200" b="0" i="0" u="none" strike="noStrike" baseline="0">
            <a:solidFill>
              <a:srgbClr val="00ACA2"/>
            </a:solidFill>
            <a:latin typeface="Arial"/>
            <a:cs typeface="Arial"/>
          </a:endParaRPr>
        </a:p>
        <a:p>
          <a:pPr algn="l" rtl="0">
            <a:defRPr sz="1000"/>
          </a:pPr>
          <a:r>
            <a:rPr lang="en-US" sz="1200" b="0" i="0" u="none" strike="noStrike" baseline="0">
              <a:solidFill>
                <a:sysClr val="windowText" lastClr="000000"/>
              </a:solidFill>
              <a:latin typeface="Arial"/>
              <a:cs typeface="Arial"/>
            </a:rPr>
            <a:t>The default emission factors in this tool are based on either energy or mass units. To estimate GHG emissions using volumetric units, users must enter fuel density values in </a:t>
          </a:r>
          <a:r>
            <a:rPr lang="en-US" sz="1200" b="0" i="0" u="sng" strike="noStrike" baseline="0">
              <a:solidFill>
                <a:sysClr val="windowText" lastClr="000000"/>
              </a:solidFill>
              <a:latin typeface="Arial"/>
              <a:cs typeface="Arial"/>
            </a:rPr>
            <a:t>Settings</a:t>
          </a:r>
          <a:r>
            <a:rPr lang="en-US" sz="1200" b="0" i="0" u="none" strike="noStrike" baseline="0">
              <a:solidFill>
                <a:sysClr val="windowText" lastClr="000000"/>
              </a:solidFill>
              <a:latin typeface="Arial"/>
              <a:cs typeface="Arial"/>
            </a:rPr>
            <a:t>. The density value will be used to convert the fuel's activity data in volume units into mass units before calculating emissions by applying default factors. The tool provides default density values for a few select fuels. </a:t>
          </a:r>
        </a:p>
      </xdr:txBody>
    </xdr:sp>
    <xdr:clientData/>
  </xdr:twoCellAnchor>
  <xdr:twoCellAnchor>
    <xdr:from>
      <xdr:col>1</xdr:col>
      <xdr:colOff>0</xdr:colOff>
      <xdr:row>0</xdr:row>
      <xdr:rowOff>0</xdr:rowOff>
    </xdr:from>
    <xdr:to>
      <xdr:col>16</xdr:col>
      <xdr:colOff>85725</xdr:colOff>
      <xdr:row>1</xdr:row>
      <xdr:rowOff>113315</xdr:rowOff>
    </xdr:to>
    <xdr:grpSp>
      <xdr:nvGrpSpPr>
        <xdr:cNvPr id="14" name="Group 13">
          <a:extLst>
            <a:ext uri="{FF2B5EF4-FFF2-40B4-BE49-F238E27FC236}">
              <a16:creationId xmlns:a16="http://schemas.microsoft.com/office/drawing/2014/main" id="{7203CEA1-03F6-49FC-8DEF-99C45B3DE826}"/>
            </a:ext>
          </a:extLst>
        </xdr:cNvPr>
        <xdr:cNvGrpSpPr/>
      </xdr:nvGrpSpPr>
      <xdr:grpSpPr>
        <a:xfrm>
          <a:off x="590550" y="0"/>
          <a:ext cx="9107805" cy="284765"/>
          <a:chOff x="546537" y="13137"/>
          <a:chExt cx="4025464" cy="256190"/>
        </a:xfrm>
      </xdr:grpSpPr>
      <xdr:sp macro="" textlink="">
        <xdr:nvSpPr>
          <xdr:cNvPr id="15" name="Rectangle 14">
            <a:hlinkClick xmlns:r="http://schemas.openxmlformats.org/officeDocument/2006/relationships" r:id="rId3"/>
            <a:extLst>
              <a:ext uri="{FF2B5EF4-FFF2-40B4-BE49-F238E27FC236}">
                <a16:creationId xmlns:a16="http://schemas.microsoft.com/office/drawing/2014/main" id="{B8A87F12-54FF-F052-F099-7A21F2550841}"/>
              </a:ext>
            </a:extLst>
          </xdr:cNvPr>
          <xdr:cNvSpPr/>
        </xdr:nvSpPr>
        <xdr:spPr>
          <a:xfrm>
            <a:off x="546537" y="13137"/>
            <a:ext cx="1010308"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16" name="Rectangle 15">
            <a:extLst>
              <a:ext uri="{FF2B5EF4-FFF2-40B4-BE49-F238E27FC236}">
                <a16:creationId xmlns:a16="http://schemas.microsoft.com/office/drawing/2014/main" id="{F9D3A1D3-7487-9B69-413A-3AE973D12D68}"/>
              </a:ext>
            </a:extLst>
          </xdr:cNvPr>
          <xdr:cNvSpPr/>
        </xdr:nvSpPr>
        <xdr:spPr>
          <a:xfrm>
            <a:off x="1551589" y="13137"/>
            <a:ext cx="1056290"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1. Introduction</a:t>
            </a:r>
          </a:p>
          <a:p>
            <a:pPr algn="ctr"/>
            <a:endParaRPr lang="en-US" sz="1100">
              <a:solidFill>
                <a:schemeClr val="bg1"/>
              </a:solidFill>
            </a:endParaRPr>
          </a:p>
        </xdr:txBody>
      </xdr:sp>
      <xdr:sp macro="" textlink="">
        <xdr:nvSpPr>
          <xdr:cNvPr id="17" name="Rectangle 16">
            <a:hlinkClick xmlns:r="http://schemas.openxmlformats.org/officeDocument/2006/relationships" r:id="rId4"/>
            <a:extLst>
              <a:ext uri="{FF2B5EF4-FFF2-40B4-BE49-F238E27FC236}">
                <a16:creationId xmlns:a16="http://schemas.microsoft.com/office/drawing/2014/main" id="{AB2DC4B3-DFFE-4DA7-E485-F9C9C57322FA}"/>
              </a:ext>
            </a:extLst>
          </xdr:cNvPr>
          <xdr:cNvSpPr/>
        </xdr:nvSpPr>
        <xdr:spPr>
          <a:xfrm>
            <a:off x="2602623" y="13137"/>
            <a:ext cx="872359"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solidFill>
            </a:endParaRPr>
          </a:p>
        </xdr:txBody>
      </xdr:sp>
      <xdr:sp macro="" textlink="">
        <xdr:nvSpPr>
          <xdr:cNvPr id="18" name="Rectangle 17">
            <a:hlinkClick xmlns:r="http://schemas.openxmlformats.org/officeDocument/2006/relationships" r:id="rId5"/>
            <a:extLst>
              <a:ext uri="{FF2B5EF4-FFF2-40B4-BE49-F238E27FC236}">
                <a16:creationId xmlns:a16="http://schemas.microsoft.com/office/drawing/2014/main" id="{714C3A85-EFD7-BD49-7805-4552D13CCDCA}"/>
              </a:ext>
            </a:extLst>
          </xdr:cNvPr>
          <xdr:cNvSpPr/>
        </xdr:nvSpPr>
        <xdr:spPr>
          <a:xfrm>
            <a:off x="3469726" y="13137"/>
            <a:ext cx="1102275" cy="256190"/>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a:p>
            <a:pPr algn="ctr"/>
            <a:endParaRPr lang="en-US" sz="1100">
              <a:solidFill>
                <a:schemeClr val="bg1">
                  <a:lumMod val="65000"/>
                </a:schemeClr>
              </a:solidFill>
            </a:endParaRPr>
          </a:p>
        </xdr:txBody>
      </xdr:sp>
    </xdr:grpSp>
    <xdr:clientData/>
  </xdr:twoCellAnchor>
  <xdr:twoCellAnchor>
    <xdr:from>
      <xdr:col>1</xdr:col>
      <xdr:colOff>117868</xdr:colOff>
      <xdr:row>65</xdr:row>
      <xdr:rowOff>24568</xdr:rowOff>
    </xdr:from>
    <xdr:to>
      <xdr:col>13</xdr:col>
      <xdr:colOff>161317</xdr:colOff>
      <xdr:row>76</xdr:row>
      <xdr:rowOff>39816</xdr:rowOff>
    </xdr:to>
    <xdr:sp macro="" textlink="">
      <xdr:nvSpPr>
        <xdr:cNvPr id="4" name="Text Box 9">
          <a:extLst>
            <a:ext uri="{FF2B5EF4-FFF2-40B4-BE49-F238E27FC236}">
              <a16:creationId xmlns:a16="http://schemas.microsoft.com/office/drawing/2014/main" id="{707CE0B3-F1E6-4977-9875-0DEA86911809}"/>
            </a:ext>
          </a:extLst>
        </xdr:cNvPr>
        <xdr:cNvSpPr txBox="1">
          <a:spLocks noChangeArrowheads="1"/>
        </xdr:cNvSpPr>
      </xdr:nvSpPr>
      <xdr:spPr bwMode="auto">
        <a:xfrm>
          <a:off x="689368" y="14220959"/>
          <a:ext cx="7655166" cy="1804292"/>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r>
            <a:rPr lang="en-US" sz="1200" b="0" i="0" u="none" strike="noStrike" baseline="0">
              <a:solidFill>
                <a:srgbClr val="000000"/>
              </a:solidFill>
              <a:latin typeface="Arial"/>
              <a:cs typeface="Arial"/>
            </a:rPr>
            <a:t>Please cite this tool using the following format:</a:t>
          </a:r>
        </a:p>
        <a:p>
          <a:pPr algn="l" rtl="0">
            <a:defRPr sz="1000"/>
          </a:pPr>
          <a:r>
            <a:rPr lang="en-US" sz="1200" b="0" i="0" u="none" strike="noStrike" baseline="0">
              <a:solidFill>
                <a:sysClr val="windowText" lastClr="000000"/>
              </a:solidFill>
              <a:latin typeface="Arial"/>
              <a:cs typeface="Arial"/>
            </a:rPr>
            <a:t>World Resources Institute (2024). GHG Protocol tool for stationary combustion. Version 4.2.</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6</xdr:col>
      <xdr:colOff>1190625</xdr:colOff>
      <xdr:row>1</xdr:row>
      <xdr:rowOff>113315</xdr:rowOff>
    </xdr:to>
    <xdr:grpSp>
      <xdr:nvGrpSpPr>
        <xdr:cNvPr id="2" name="Group 1">
          <a:extLst>
            <a:ext uri="{FF2B5EF4-FFF2-40B4-BE49-F238E27FC236}">
              <a16:creationId xmlns:a16="http://schemas.microsoft.com/office/drawing/2014/main" id="{8161489E-5E65-4D26-8E30-A04DEE74D943}"/>
            </a:ext>
          </a:extLst>
        </xdr:cNvPr>
        <xdr:cNvGrpSpPr/>
      </xdr:nvGrpSpPr>
      <xdr:grpSpPr>
        <a:xfrm>
          <a:off x="586740" y="0"/>
          <a:ext cx="9084945" cy="280955"/>
          <a:chOff x="546537" y="13137"/>
          <a:chExt cx="4025464" cy="256190"/>
        </a:xfrm>
        <a:solidFill>
          <a:srgbClr val="00423F"/>
        </a:solidFill>
      </xdr:grpSpPr>
      <xdr:sp macro="" textlink="">
        <xdr:nvSpPr>
          <xdr:cNvPr id="4" name="Rectangle 3">
            <a:hlinkClick xmlns:r="http://schemas.openxmlformats.org/officeDocument/2006/relationships" r:id="rId1"/>
            <a:extLst>
              <a:ext uri="{FF2B5EF4-FFF2-40B4-BE49-F238E27FC236}">
                <a16:creationId xmlns:a16="http://schemas.microsoft.com/office/drawing/2014/main" id="{D69CCF5C-752B-B6FC-C4EC-F74DBA72DBE5}"/>
              </a:ext>
            </a:extLst>
          </xdr:cNvPr>
          <xdr:cNvSpPr/>
        </xdr:nvSpPr>
        <xdr:spPr>
          <a:xfrm>
            <a:off x="546537" y="13137"/>
            <a:ext cx="1010308" cy="256190"/>
          </a:xfrm>
          <a:prstGeom prst="rect">
            <a:avLst/>
          </a:prstGeom>
          <a:grp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5" name="Rectangle 4">
            <a:hlinkClick xmlns:r="http://schemas.openxmlformats.org/officeDocument/2006/relationships" r:id="rId2"/>
            <a:extLst>
              <a:ext uri="{FF2B5EF4-FFF2-40B4-BE49-F238E27FC236}">
                <a16:creationId xmlns:a16="http://schemas.microsoft.com/office/drawing/2014/main" id="{1AF54186-9DFC-5054-CB00-AF8ECC0D1435}"/>
              </a:ext>
            </a:extLst>
          </xdr:cNvPr>
          <xdr:cNvSpPr/>
        </xdr:nvSpPr>
        <xdr:spPr>
          <a:xfrm>
            <a:off x="1551589" y="13137"/>
            <a:ext cx="1056290" cy="256190"/>
          </a:xfrm>
          <a:prstGeom prst="rect">
            <a:avLst/>
          </a:prstGeom>
          <a:grp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solidFill>
                <a:schemeClr val="bg1">
                  <a:lumMod val="65000"/>
                </a:schemeClr>
              </a:solidFill>
            </a:endParaRPr>
          </a:p>
        </xdr:txBody>
      </xdr:sp>
      <xdr:sp macro="" textlink="">
        <xdr:nvSpPr>
          <xdr:cNvPr id="6" name="Rectangle 5">
            <a:extLst>
              <a:ext uri="{FF2B5EF4-FFF2-40B4-BE49-F238E27FC236}">
                <a16:creationId xmlns:a16="http://schemas.microsoft.com/office/drawing/2014/main" id="{53EC4918-3C9F-E391-5992-0F1642C42AFA}"/>
              </a:ext>
            </a:extLst>
          </xdr:cNvPr>
          <xdr:cNvSpPr/>
        </xdr:nvSpPr>
        <xdr:spPr>
          <a:xfrm>
            <a:off x="2602623" y="13137"/>
            <a:ext cx="872359" cy="256190"/>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2. Settings</a:t>
            </a:r>
          </a:p>
          <a:p>
            <a:pPr algn="ctr"/>
            <a:endParaRPr lang="en-US" sz="1100">
              <a:solidFill>
                <a:schemeClr val="bg1"/>
              </a:solidFill>
            </a:endParaRPr>
          </a:p>
        </xdr:txBody>
      </xdr:sp>
      <xdr:sp macro="" textlink="">
        <xdr:nvSpPr>
          <xdr:cNvPr id="7" name="Rectangle 6">
            <a:hlinkClick xmlns:r="http://schemas.openxmlformats.org/officeDocument/2006/relationships" r:id="rId3"/>
            <a:extLst>
              <a:ext uri="{FF2B5EF4-FFF2-40B4-BE49-F238E27FC236}">
                <a16:creationId xmlns:a16="http://schemas.microsoft.com/office/drawing/2014/main" id="{62E0721A-36E1-54C0-3286-0BAB8DBE6365}"/>
              </a:ext>
            </a:extLst>
          </xdr:cNvPr>
          <xdr:cNvSpPr/>
        </xdr:nvSpPr>
        <xdr:spPr>
          <a:xfrm>
            <a:off x="3469726" y="13137"/>
            <a:ext cx="1102275" cy="256190"/>
          </a:xfrm>
          <a:prstGeom prst="rect">
            <a:avLst/>
          </a:prstGeom>
          <a:grp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3. Calculator</a:t>
            </a:r>
          </a:p>
          <a:p>
            <a:pPr algn="ctr"/>
            <a:endParaRPr lang="en-US" sz="1100">
              <a:solidFill>
                <a:schemeClr val="bg1">
                  <a:lumMod val="65000"/>
                </a:schemeClr>
              </a:solidFill>
            </a:endParaRPr>
          </a:p>
        </xdr:txBody>
      </xdr:sp>
    </xdr:grpSp>
    <xdr:clientData/>
  </xdr:twoCellAnchor>
  <xdr:twoCellAnchor editAs="oneCell">
    <xdr:from>
      <xdr:col>0</xdr:col>
      <xdr:colOff>66675</xdr:colOff>
      <xdr:row>3</xdr:row>
      <xdr:rowOff>457200</xdr:rowOff>
    </xdr:from>
    <xdr:to>
      <xdr:col>1</xdr:col>
      <xdr:colOff>168100</xdr:colOff>
      <xdr:row>5</xdr:row>
      <xdr:rowOff>350067</xdr:rowOff>
    </xdr:to>
    <xdr:pic>
      <xdr:nvPicPr>
        <xdr:cNvPr id="13" name="Picture 12">
          <a:extLst>
            <a:ext uri="{FF2B5EF4-FFF2-40B4-BE49-F238E27FC236}">
              <a16:creationId xmlns:a16="http://schemas.microsoft.com/office/drawing/2014/main" id="{A7FDA9AF-8564-4F35-A8D0-EACFC9088941}"/>
            </a:ext>
          </a:extLst>
        </xdr:cNvPr>
        <xdr:cNvPicPr>
          <a:picLocks noChangeAspect="1"/>
        </xdr:cNvPicPr>
      </xdr:nvPicPr>
      <xdr:blipFill rotWithShape="1">
        <a:blip xmlns:r="http://schemas.openxmlformats.org/officeDocument/2006/relationships" r:embed="rId4"/>
        <a:srcRect l="26902"/>
        <a:stretch/>
      </xdr:blipFill>
      <xdr:spPr>
        <a:xfrm>
          <a:off x="66675" y="942975"/>
          <a:ext cx="672925" cy="892992"/>
        </a:xfrm>
        <a:prstGeom prst="rect">
          <a:avLst/>
        </a:prstGeom>
      </xdr:spPr>
    </xdr:pic>
    <xdr:clientData/>
  </xdr:twoCellAnchor>
  <xdr:twoCellAnchor editAs="oneCell">
    <xdr:from>
      <xdr:col>0</xdr:col>
      <xdr:colOff>85724</xdr:colOff>
      <xdr:row>7</xdr:row>
      <xdr:rowOff>342900</xdr:rowOff>
    </xdr:from>
    <xdr:to>
      <xdr:col>1</xdr:col>
      <xdr:colOff>174312</xdr:colOff>
      <xdr:row>9</xdr:row>
      <xdr:rowOff>331017</xdr:rowOff>
    </xdr:to>
    <xdr:pic>
      <xdr:nvPicPr>
        <xdr:cNvPr id="14" name="Picture 13">
          <a:extLst>
            <a:ext uri="{FF2B5EF4-FFF2-40B4-BE49-F238E27FC236}">
              <a16:creationId xmlns:a16="http://schemas.microsoft.com/office/drawing/2014/main" id="{DBBEC3E0-B905-44D5-8677-5FE4779174BA}"/>
            </a:ext>
          </a:extLst>
        </xdr:cNvPr>
        <xdr:cNvPicPr>
          <a:picLocks noChangeAspect="1"/>
        </xdr:cNvPicPr>
      </xdr:nvPicPr>
      <xdr:blipFill rotWithShape="1">
        <a:blip xmlns:r="http://schemas.openxmlformats.org/officeDocument/2006/relationships" r:embed="rId5"/>
        <a:srcRect l="28037"/>
        <a:stretch/>
      </xdr:blipFill>
      <xdr:spPr>
        <a:xfrm>
          <a:off x="85724" y="2924175"/>
          <a:ext cx="660088" cy="892992"/>
        </a:xfrm>
        <a:prstGeom prst="rect">
          <a:avLst/>
        </a:prstGeom>
      </xdr:spPr>
    </xdr:pic>
    <xdr:clientData/>
  </xdr:twoCellAnchor>
  <xdr:twoCellAnchor editAs="oneCell">
    <xdr:from>
      <xdr:col>0</xdr:col>
      <xdr:colOff>85724</xdr:colOff>
      <xdr:row>50</xdr:row>
      <xdr:rowOff>76200</xdr:rowOff>
    </xdr:from>
    <xdr:to>
      <xdr:col>1</xdr:col>
      <xdr:colOff>178867</xdr:colOff>
      <xdr:row>52</xdr:row>
      <xdr:rowOff>302442</xdr:rowOff>
    </xdr:to>
    <xdr:pic>
      <xdr:nvPicPr>
        <xdr:cNvPr id="15" name="Picture 14">
          <a:extLst>
            <a:ext uri="{FF2B5EF4-FFF2-40B4-BE49-F238E27FC236}">
              <a16:creationId xmlns:a16="http://schemas.microsoft.com/office/drawing/2014/main" id="{B88E4B7A-1AB4-4F74-A383-AC01BF0C235A}"/>
            </a:ext>
          </a:extLst>
        </xdr:cNvPr>
        <xdr:cNvPicPr>
          <a:picLocks noChangeAspect="1"/>
        </xdr:cNvPicPr>
      </xdr:nvPicPr>
      <xdr:blipFill rotWithShape="1">
        <a:blip xmlns:r="http://schemas.openxmlformats.org/officeDocument/2006/relationships" r:embed="rId6"/>
        <a:srcRect l="27899"/>
        <a:stretch/>
      </xdr:blipFill>
      <xdr:spPr>
        <a:xfrm>
          <a:off x="85724" y="13496925"/>
          <a:ext cx="664643" cy="8929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54428</xdr:colOff>
      <xdr:row>2</xdr:row>
      <xdr:rowOff>68035</xdr:rowOff>
    </xdr:from>
    <xdr:to>
      <xdr:col>8</xdr:col>
      <xdr:colOff>828675</xdr:colOff>
      <xdr:row>3</xdr:row>
      <xdr:rowOff>477338</xdr:rowOff>
    </xdr:to>
    <xdr:sp macro="" textlink="">
      <xdr:nvSpPr>
        <xdr:cNvPr id="2" name="Rectangle 1">
          <a:extLst>
            <a:ext uri="{FF2B5EF4-FFF2-40B4-BE49-F238E27FC236}">
              <a16:creationId xmlns:a16="http://schemas.microsoft.com/office/drawing/2014/main" id="{64D5C4A2-7B2A-82C1-C03C-FBB44FA2E8A8}"/>
            </a:ext>
          </a:extLst>
        </xdr:cNvPr>
        <xdr:cNvSpPr/>
      </xdr:nvSpPr>
      <xdr:spPr>
        <a:xfrm>
          <a:off x="353785" y="1387928"/>
          <a:ext cx="7890783" cy="12801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3600">
            <a:solidFill>
              <a:srgbClr val="00ACA2"/>
            </a:solidFill>
            <a:sym typeface="Wingdings" panose="05000000000000000000" pitchFamily="2" charset="2"/>
          </a:endParaRPr>
        </a:p>
        <a:p>
          <a:pPr algn="l"/>
          <a:r>
            <a:rPr lang="en-US" sz="1800">
              <a:solidFill>
                <a:srgbClr val="00ACA2"/>
              </a:solidFill>
            </a:rPr>
            <a:t>Enter</a:t>
          </a:r>
          <a:r>
            <a:rPr lang="en-US" sz="1800" baseline="0">
              <a:solidFill>
                <a:srgbClr val="00ACA2"/>
              </a:solidFill>
            </a:rPr>
            <a:t> Activity Data and select appropriate unit of measurement.</a:t>
          </a:r>
          <a:endParaRPr lang="en-US" sz="1800">
            <a:solidFill>
              <a:srgbClr val="00ACA2"/>
            </a:solidFill>
          </a:endParaRPr>
        </a:p>
      </xdr:txBody>
    </xdr:sp>
    <xdr:clientData/>
  </xdr:twoCellAnchor>
  <xdr:twoCellAnchor>
    <xdr:from>
      <xdr:col>12</xdr:col>
      <xdr:colOff>27216</xdr:colOff>
      <xdr:row>2</xdr:row>
      <xdr:rowOff>68035</xdr:rowOff>
    </xdr:from>
    <xdr:to>
      <xdr:col>13</xdr:col>
      <xdr:colOff>2163535</xdr:colOff>
      <xdr:row>5</xdr:row>
      <xdr:rowOff>1089</xdr:rowOff>
    </xdr:to>
    <xdr:sp macro="" textlink="">
      <xdr:nvSpPr>
        <xdr:cNvPr id="3" name="Rectangle 2">
          <a:extLst>
            <a:ext uri="{FF2B5EF4-FFF2-40B4-BE49-F238E27FC236}">
              <a16:creationId xmlns:a16="http://schemas.microsoft.com/office/drawing/2014/main" id="{AF8A9C90-4F20-4D6E-B396-706C566EFCDB}"/>
            </a:ext>
          </a:extLst>
        </xdr:cNvPr>
        <xdr:cNvSpPr/>
      </xdr:nvSpPr>
      <xdr:spPr>
        <a:xfrm>
          <a:off x="10628541" y="782410"/>
          <a:ext cx="4269919" cy="18285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3600">
              <a:solidFill>
                <a:srgbClr val="00ACA2"/>
              </a:solidFill>
              <a:sym typeface="Wingdings" panose="05000000000000000000" pitchFamily="2" charset="2"/>
            </a:rPr>
            <a:t> </a:t>
          </a:r>
        </a:p>
        <a:p>
          <a:pPr algn="l"/>
          <a:r>
            <a:rPr lang="en-US" sz="1800">
              <a:solidFill>
                <a:srgbClr val="00ACA2"/>
              </a:solidFill>
            </a:rPr>
            <a:t>If</a:t>
          </a:r>
          <a:r>
            <a:rPr lang="en-US" sz="1800" baseline="0">
              <a:solidFill>
                <a:srgbClr val="00ACA2"/>
              </a:solidFill>
            </a:rPr>
            <a:t> applicable, ensure fuel density is correct. These are entered under Settings and necessary when entering activity data on a  volume basis. </a:t>
          </a:r>
          <a:endParaRPr lang="en-US" sz="1800">
            <a:solidFill>
              <a:srgbClr val="00ACA2"/>
            </a:solidFill>
          </a:endParaRPr>
        </a:p>
      </xdr:txBody>
    </xdr:sp>
    <xdr:clientData/>
  </xdr:twoCellAnchor>
  <xdr:twoCellAnchor>
    <xdr:from>
      <xdr:col>15</xdr:col>
      <xdr:colOff>168724</xdr:colOff>
      <xdr:row>2</xdr:row>
      <xdr:rowOff>68035</xdr:rowOff>
    </xdr:from>
    <xdr:to>
      <xdr:col>21</xdr:col>
      <xdr:colOff>1673678</xdr:colOff>
      <xdr:row>4</xdr:row>
      <xdr:rowOff>180702</xdr:rowOff>
    </xdr:to>
    <xdr:sp macro="" textlink="">
      <xdr:nvSpPr>
        <xdr:cNvPr id="5" name="Rectangle 4">
          <a:extLst>
            <a:ext uri="{FF2B5EF4-FFF2-40B4-BE49-F238E27FC236}">
              <a16:creationId xmlns:a16="http://schemas.microsoft.com/office/drawing/2014/main" id="{10012D11-7D98-4FC4-81A4-3D2A3E45EE67}"/>
            </a:ext>
          </a:extLst>
        </xdr:cNvPr>
        <xdr:cNvSpPr/>
      </xdr:nvSpPr>
      <xdr:spPr>
        <a:xfrm>
          <a:off x="17286510" y="1387928"/>
          <a:ext cx="8335739" cy="14733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3600">
            <a:solidFill>
              <a:srgbClr val="00ACA2"/>
            </a:solidFill>
            <a:sym typeface="Wingdings" panose="05000000000000000000" pitchFamily="2" charset="2"/>
          </a:endParaRPr>
        </a:p>
        <a:p>
          <a:pPr algn="l"/>
          <a:r>
            <a:rPr lang="en-US" sz="1800">
              <a:solidFill>
                <a:srgbClr val="00ACA2"/>
              </a:solidFill>
            </a:rPr>
            <a:t>Review and</a:t>
          </a:r>
          <a:r>
            <a:rPr lang="en-US" sz="1800" baseline="0">
              <a:solidFill>
                <a:srgbClr val="00ACA2"/>
              </a:solidFill>
            </a:rPr>
            <a:t> document </a:t>
          </a:r>
          <a:r>
            <a:rPr lang="en-US" sz="1800">
              <a:solidFill>
                <a:srgbClr val="00ACA2"/>
              </a:solidFill>
            </a:rPr>
            <a:t>total GHG emissions by source. At the end of the table, locate total GHG emissions across all sources.</a:t>
          </a:r>
        </a:p>
      </xdr:txBody>
    </xdr:sp>
    <xdr:clientData/>
  </xdr:twoCellAnchor>
  <xdr:twoCellAnchor>
    <xdr:from>
      <xdr:col>22</xdr:col>
      <xdr:colOff>217714</xdr:colOff>
      <xdr:row>2</xdr:row>
      <xdr:rowOff>68035</xdr:rowOff>
    </xdr:from>
    <xdr:to>
      <xdr:col>27</xdr:col>
      <xdr:colOff>163286</xdr:colOff>
      <xdr:row>4</xdr:row>
      <xdr:rowOff>0</xdr:rowOff>
    </xdr:to>
    <xdr:sp macro="" textlink="">
      <xdr:nvSpPr>
        <xdr:cNvPr id="6" name="Rectangle 5">
          <a:extLst>
            <a:ext uri="{FF2B5EF4-FFF2-40B4-BE49-F238E27FC236}">
              <a16:creationId xmlns:a16="http://schemas.microsoft.com/office/drawing/2014/main" id="{AA5695A4-9884-4842-9BDC-010A5EF8DE0D}"/>
            </a:ext>
          </a:extLst>
        </xdr:cNvPr>
        <xdr:cNvSpPr/>
      </xdr:nvSpPr>
      <xdr:spPr>
        <a:xfrm>
          <a:off x="26030464" y="1387928"/>
          <a:ext cx="8694965" cy="129267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3600">
            <a:solidFill>
              <a:srgbClr val="00ACA2"/>
            </a:solidFill>
            <a:sym typeface="Wingdings" panose="05000000000000000000" pitchFamily="2" charset="2"/>
          </a:endParaRPr>
        </a:p>
        <a:p>
          <a:pPr algn="l"/>
          <a:r>
            <a:rPr lang="en-US" sz="1800">
              <a:solidFill>
                <a:srgbClr val="00ACA2"/>
              </a:solidFill>
            </a:rPr>
            <a:t>Review and document emission factors and conversions applied by source. </a:t>
          </a:r>
        </a:p>
      </xdr:txBody>
    </xdr:sp>
    <xdr:clientData/>
  </xdr:twoCellAnchor>
  <xdr:twoCellAnchor>
    <xdr:from>
      <xdr:col>1</xdr:col>
      <xdr:colOff>0</xdr:colOff>
      <xdr:row>0</xdr:row>
      <xdr:rowOff>0</xdr:rowOff>
    </xdr:from>
    <xdr:to>
      <xdr:col>11</xdr:col>
      <xdr:colOff>322489</xdr:colOff>
      <xdr:row>1</xdr:row>
      <xdr:rowOff>111954</xdr:rowOff>
    </xdr:to>
    <xdr:grpSp>
      <xdr:nvGrpSpPr>
        <xdr:cNvPr id="12" name="Group 11">
          <a:extLst>
            <a:ext uri="{FF2B5EF4-FFF2-40B4-BE49-F238E27FC236}">
              <a16:creationId xmlns:a16="http://schemas.microsoft.com/office/drawing/2014/main" id="{713CE70B-6687-CFB0-47EC-137891938661}"/>
            </a:ext>
          </a:extLst>
        </xdr:cNvPr>
        <xdr:cNvGrpSpPr/>
      </xdr:nvGrpSpPr>
      <xdr:grpSpPr>
        <a:xfrm>
          <a:off x="590550" y="0"/>
          <a:ext cx="9108349" cy="283404"/>
          <a:chOff x="571500" y="0"/>
          <a:chExt cx="8866414" cy="273879"/>
        </a:xfrm>
      </xdr:grpSpPr>
      <xdr:sp macro="" textlink="">
        <xdr:nvSpPr>
          <xdr:cNvPr id="8" name="Rectangle 7">
            <a:hlinkClick xmlns:r="http://schemas.openxmlformats.org/officeDocument/2006/relationships" r:id="rId1"/>
            <a:extLst>
              <a:ext uri="{FF2B5EF4-FFF2-40B4-BE49-F238E27FC236}">
                <a16:creationId xmlns:a16="http://schemas.microsoft.com/office/drawing/2014/main" id="{6CCCB4F1-9D5F-4B03-4076-BEEE58063CDD}"/>
              </a:ext>
            </a:extLst>
          </xdr:cNvPr>
          <xdr:cNvSpPr/>
        </xdr:nvSpPr>
        <xdr:spPr>
          <a:xfrm>
            <a:off x="571500" y="0"/>
            <a:ext cx="2225286" cy="273879"/>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Welcome</a:t>
            </a:r>
          </a:p>
        </xdr:txBody>
      </xdr:sp>
      <xdr:sp macro="" textlink="">
        <xdr:nvSpPr>
          <xdr:cNvPr id="9" name="Rectangle 8">
            <a:hlinkClick xmlns:r="http://schemas.openxmlformats.org/officeDocument/2006/relationships" r:id="rId2"/>
            <a:extLst>
              <a:ext uri="{FF2B5EF4-FFF2-40B4-BE49-F238E27FC236}">
                <a16:creationId xmlns:a16="http://schemas.microsoft.com/office/drawing/2014/main" id="{373DBB5D-5B9D-5B43-707D-011B6FFF5F35}"/>
              </a:ext>
            </a:extLst>
          </xdr:cNvPr>
          <xdr:cNvSpPr/>
        </xdr:nvSpPr>
        <xdr:spPr>
          <a:xfrm>
            <a:off x="2785209" y="0"/>
            <a:ext cx="2326565" cy="273879"/>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1. Introduction</a:t>
            </a:r>
          </a:p>
          <a:p>
            <a:pPr algn="ctr"/>
            <a:endParaRPr lang="en-US" sz="1100">
              <a:solidFill>
                <a:schemeClr val="bg1"/>
              </a:solidFill>
            </a:endParaRPr>
          </a:p>
        </xdr:txBody>
      </xdr:sp>
      <xdr:sp macro="" textlink="">
        <xdr:nvSpPr>
          <xdr:cNvPr id="10" name="Rectangle 9">
            <a:hlinkClick xmlns:r="http://schemas.openxmlformats.org/officeDocument/2006/relationships" r:id="rId3"/>
            <a:extLst>
              <a:ext uri="{FF2B5EF4-FFF2-40B4-BE49-F238E27FC236}">
                <a16:creationId xmlns:a16="http://schemas.microsoft.com/office/drawing/2014/main" id="{58EBECFF-60B2-298B-08FE-44BAC0D0A3B1}"/>
              </a:ext>
            </a:extLst>
          </xdr:cNvPr>
          <xdr:cNvSpPr/>
        </xdr:nvSpPr>
        <xdr:spPr>
          <a:xfrm>
            <a:off x="5100198" y="0"/>
            <a:ext cx="1921442" cy="273879"/>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65000"/>
                  </a:schemeClr>
                </a:solidFill>
              </a:rPr>
              <a:t>2. Settings</a:t>
            </a:r>
          </a:p>
          <a:p>
            <a:pPr algn="ctr"/>
            <a:endParaRPr lang="en-US" sz="1100">
              <a:solidFill>
                <a:schemeClr val="bg1"/>
              </a:solidFill>
            </a:endParaRPr>
          </a:p>
        </xdr:txBody>
      </xdr:sp>
      <xdr:sp macro="" textlink="">
        <xdr:nvSpPr>
          <xdr:cNvPr id="11" name="Rectangle 10">
            <a:extLst>
              <a:ext uri="{FF2B5EF4-FFF2-40B4-BE49-F238E27FC236}">
                <a16:creationId xmlns:a16="http://schemas.microsoft.com/office/drawing/2014/main" id="{D0609E2F-A703-18CD-0A51-EADD876E440B}"/>
              </a:ext>
            </a:extLst>
          </xdr:cNvPr>
          <xdr:cNvSpPr/>
        </xdr:nvSpPr>
        <xdr:spPr>
          <a:xfrm>
            <a:off x="7010063" y="0"/>
            <a:ext cx="2427851" cy="273879"/>
          </a:xfrm>
          <a:prstGeom prst="rect">
            <a:avLst/>
          </a:prstGeom>
          <a:solidFill>
            <a:srgbClr val="00ACA2"/>
          </a:solidFill>
          <a:ln w="19050">
            <a:solidFill>
              <a:srgbClr val="00ACA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solidFill>
              </a:rPr>
              <a:t>3. Calculator</a:t>
            </a:r>
          </a:p>
          <a:p>
            <a:pPr algn="ctr"/>
            <a:endParaRPr lang="en-US" sz="1100">
              <a:solidFill>
                <a:schemeClr val="bg1">
                  <a:lumMod val="65000"/>
                </a:schemeClr>
              </a:solidFill>
            </a:endParaRPr>
          </a:p>
        </xdr:txBody>
      </xdr:sp>
    </xdr:grpSp>
    <xdr:clientData/>
  </xdr:twoCellAnchor>
  <xdr:twoCellAnchor editAs="oneCell">
    <xdr:from>
      <xdr:col>0</xdr:col>
      <xdr:colOff>428625</xdr:colOff>
      <xdr:row>2</xdr:row>
      <xdr:rowOff>57150</xdr:rowOff>
    </xdr:from>
    <xdr:to>
      <xdr:col>1</xdr:col>
      <xdr:colOff>777701</xdr:colOff>
      <xdr:row>3</xdr:row>
      <xdr:rowOff>80468</xdr:rowOff>
    </xdr:to>
    <xdr:pic>
      <xdr:nvPicPr>
        <xdr:cNvPr id="4" name="Picture 3">
          <a:extLst>
            <a:ext uri="{FF2B5EF4-FFF2-40B4-BE49-F238E27FC236}">
              <a16:creationId xmlns:a16="http://schemas.microsoft.com/office/drawing/2014/main" id="{C0B6842F-6F37-24CC-EECD-AD6F7AD6E2E7}"/>
            </a:ext>
          </a:extLst>
        </xdr:cNvPr>
        <xdr:cNvPicPr>
          <a:picLocks noChangeAspect="1"/>
        </xdr:cNvPicPr>
      </xdr:nvPicPr>
      <xdr:blipFill>
        <a:blip xmlns:r="http://schemas.openxmlformats.org/officeDocument/2006/relationships" r:embed="rId4"/>
        <a:stretch>
          <a:fillRect/>
        </a:stretch>
      </xdr:blipFill>
      <xdr:spPr>
        <a:xfrm>
          <a:off x="428625" y="771525"/>
          <a:ext cx="920576" cy="890093"/>
        </a:xfrm>
        <a:prstGeom prst="rect">
          <a:avLst/>
        </a:prstGeom>
      </xdr:spPr>
    </xdr:pic>
    <xdr:clientData/>
  </xdr:twoCellAnchor>
  <xdr:twoCellAnchor editAs="oneCell">
    <xdr:from>
      <xdr:col>11</xdr:col>
      <xdr:colOff>1285875</xdr:colOff>
      <xdr:row>2</xdr:row>
      <xdr:rowOff>57150</xdr:rowOff>
    </xdr:from>
    <xdr:to>
      <xdr:col>12</xdr:col>
      <xdr:colOff>720551</xdr:colOff>
      <xdr:row>3</xdr:row>
      <xdr:rowOff>80468</xdr:rowOff>
    </xdr:to>
    <xdr:pic>
      <xdr:nvPicPr>
        <xdr:cNvPr id="7" name="Picture 6">
          <a:extLst>
            <a:ext uri="{FF2B5EF4-FFF2-40B4-BE49-F238E27FC236}">
              <a16:creationId xmlns:a16="http://schemas.microsoft.com/office/drawing/2014/main" id="{F3F5A3EC-298D-0835-FD91-B1616F39893E}"/>
            </a:ext>
          </a:extLst>
        </xdr:cNvPr>
        <xdr:cNvPicPr>
          <a:picLocks noChangeAspect="1"/>
        </xdr:cNvPicPr>
      </xdr:nvPicPr>
      <xdr:blipFill>
        <a:blip xmlns:r="http://schemas.openxmlformats.org/officeDocument/2006/relationships" r:embed="rId5"/>
        <a:stretch>
          <a:fillRect/>
        </a:stretch>
      </xdr:blipFill>
      <xdr:spPr>
        <a:xfrm>
          <a:off x="10401300" y="771525"/>
          <a:ext cx="920576" cy="890093"/>
        </a:xfrm>
        <a:prstGeom prst="rect">
          <a:avLst/>
        </a:prstGeom>
      </xdr:spPr>
    </xdr:pic>
    <xdr:clientData/>
  </xdr:twoCellAnchor>
  <xdr:twoCellAnchor editAs="oneCell">
    <xdr:from>
      <xdr:col>14</xdr:col>
      <xdr:colOff>2609850</xdr:colOff>
      <xdr:row>2</xdr:row>
      <xdr:rowOff>57150</xdr:rowOff>
    </xdr:from>
    <xdr:to>
      <xdr:col>15</xdr:col>
      <xdr:colOff>872951</xdr:colOff>
      <xdr:row>3</xdr:row>
      <xdr:rowOff>80468</xdr:rowOff>
    </xdr:to>
    <xdr:pic>
      <xdr:nvPicPr>
        <xdr:cNvPr id="13" name="Picture 12">
          <a:extLst>
            <a:ext uri="{FF2B5EF4-FFF2-40B4-BE49-F238E27FC236}">
              <a16:creationId xmlns:a16="http://schemas.microsoft.com/office/drawing/2014/main" id="{B19285C7-D68C-B440-CBBA-468C869F000F}"/>
            </a:ext>
          </a:extLst>
        </xdr:cNvPr>
        <xdr:cNvPicPr>
          <a:picLocks noChangeAspect="1"/>
        </xdr:cNvPicPr>
      </xdr:nvPicPr>
      <xdr:blipFill>
        <a:blip xmlns:r="http://schemas.openxmlformats.org/officeDocument/2006/relationships" r:embed="rId6"/>
        <a:stretch>
          <a:fillRect/>
        </a:stretch>
      </xdr:blipFill>
      <xdr:spPr>
        <a:xfrm>
          <a:off x="17526000" y="771525"/>
          <a:ext cx="920576" cy="890093"/>
        </a:xfrm>
        <a:prstGeom prst="rect">
          <a:avLst/>
        </a:prstGeom>
      </xdr:spPr>
    </xdr:pic>
    <xdr:clientData/>
  </xdr:twoCellAnchor>
  <xdr:twoCellAnchor editAs="oneCell">
    <xdr:from>
      <xdr:col>21</xdr:col>
      <xdr:colOff>1676400</xdr:colOff>
      <xdr:row>2</xdr:row>
      <xdr:rowOff>57150</xdr:rowOff>
    </xdr:from>
    <xdr:to>
      <xdr:col>22</xdr:col>
      <xdr:colOff>911051</xdr:colOff>
      <xdr:row>3</xdr:row>
      <xdr:rowOff>80468</xdr:rowOff>
    </xdr:to>
    <xdr:pic>
      <xdr:nvPicPr>
        <xdr:cNvPr id="15" name="Picture 14">
          <a:extLst>
            <a:ext uri="{FF2B5EF4-FFF2-40B4-BE49-F238E27FC236}">
              <a16:creationId xmlns:a16="http://schemas.microsoft.com/office/drawing/2014/main" id="{8F450150-F510-BD7F-DCEC-0C9F27D63840}"/>
            </a:ext>
          </a:extLst>
        </xdr:cNvPr>
        <xdr:cNvPicPr>
          <a:picLocks noChangeAspect="1"/>
        </xdr:cNvPicPr>
      </xdr:nvPicPr>
      <xdr:blipFill>
        <a:blip xmlns:r="http://schemas.openxmlformats.org/officeDocument/2006/relationships" r:embed="rId7"/>
        <a:stretch>
          <a:fillRect/>
        </a:stretch>
      </xdr:blipFill>
      <xdr:spPr>
        <a:xfrm>
          <a:off x="26079450" y="771525"/>
          <a:ext cx="920576" cy="8900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4</xdr:col>
      <xdr:colOff>2916953</xdr:colOff>
      <xdr:row>1</xdr:row>
      <xdr:rowOff>112687</xdr:rowOff>
    </xdr:to>
    <xdr:grpSp>
      <xdr:nvGrpSpPr>
        <xdr:cNvPr id="13" name="Group 12">
          <a:extLst>
            <a:ext uri="{FF2B5EF4-FFF2-40B4-BE49-F238E27FC236}">
              <a16:creationId xmlns:a16="http://schemas.microsoft.com/office/drawing/2014/main" id="{CBE7140A-1CE3-6DD3-F8DA-059EBA3FC3A5}"/>
            </a:ext>
          </a:extLst>
        </xdr:cNvPr>
        <xdr:cNvGrpSpPr/>
      </xdr:nvGrpSpPr>
      <xdr:grpSpPr>
        <a:xfrm>
          <a:off x="590550" y="0"/>
          <a:ext cx="9037718" cy="284137"/>
          <a:chOff x="608135" y="0"/>
          <a:chExt cx="8866414" cy="273879"/>
        </a:xfrm>
      </xdr:grpSpPr>
      <xdr:sp macro="" textlink="">
        <xdr:nvSpPr>
          <xdr:cNvPr id="9" name="Rectangle 8">
            <a:hlinkClick xmlns:r="http://schemas.openxmlformats.org/officeDocument/2006/relationships" r:id="rId1"/>
            <a:extLst>
              <a:ext uri="{FF2B5EF4-FFF2-40B4-BE49-F238E27FC236}">
                <a16:creationId xmlns:a16="http://schemas.microsoft.com/office/drawing/2014/main" id="{5618B12A-6773-2E94-A208-5EBD057365EF}"/>
              </a:ext>
            </a:extLst>
          </xdr:cNvPr>
          <xdr:cNvSpPr/>
        </xdr:nvSpPr>
        <xdr:spPr>
          <a:xfrm>
            <a:off x="608135" y="0"/>
            <a:ext cx="2225286" cy="273879"/>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75000"/>
                  </a:schemeClr>
                </a:solidFill>
              </a:rPr>
              <a:t>Welcome</a:t>
            </a:r>
          </a:p>
        </xdr:txBody>
      </xdr:sp>
      <xdr:sp macro="" textlink="">
        <xdr:nvSpPr>
          <xdr:cNvPr id="10" name="Rectangle 9">
            <a:hlinkClick xmlns:r="http://schemas.openxmlformats.org/officeDocument/2006/relationships" r:id="rId2"/>
            <a:extLst>
              <a:ext uri="{FF2B5EF4-FFF2-40B4-BE49-F238E27FC236}">
                <a16:creationId xmlns:a16="http://schemas.microsoft.com/office/drawing/2014/main" id="{8CC549BF-782E-1A83-0AF8-F446F7776731}"/>
              </a:ext>
            </a:extLst>
          </xdr:cNvPr>
          <xdr:cNvSpPr/>
        </xdr:nvSpPr>
        <xdr:spPr>
          <a:xfrm>
            <a:off x="2821844" y="0"/>
            <a:ext cx="2326565" cy="273879"/>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75000"/>
                  </a:schemeClr>
                </a:solidFill>
              </a:rPr>
              <a:t>1. Introduction</a:t>
            </a:r>
          </a:p>
          <a:p>
            <a:pPr algn="ctr"/>
            <a:endParaRPr lang="en-US" sz="1100">
              <a:solidFill>
                <a:schemeClr val="bg1">
                  <a:lumMod val="75000"/>
                </a:schemeClr>
              </a:solidFill>
            </a:endParaRPr>
          </a:p>
        </xdr:txBody>
      </xdr:sp>
      <xdr:sp macro="" textlink="">
        <xdr:nvSpPr>
          <xdr:cNvPr id="11" name="Rectangle 10">
            <a:hlinkClick xmlns:r="http://schemas.openxmlformats.org/officeDocument/2006/relationships" r:id="rId3"/>
            <a:extLst>
              <a:ext uri="{FF2B5EF4-FFF2-40B4-BE49-F238E27FC236}">
                <a16:creationId xmlns:a16="http://schemas.microsoft.com/office/drawing/2014/main" id="{A502411A-37FF-4D5B-9446-9FF151D45651}"/>
              </a:ext>
            </a:extLst>
          </xdr:cNvPr>
          <xdr:cNvSpPr/>
        </xdr:nvSpPr>
        <xdr:spPr>
          <a:xfrm>
            <a:off x="5136833" y="0"/>
            <a:ext cx="1921442" cy="273879"/>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75000"/>
                  </a:schemeClr>
                </a:solidFill>
              </a:rPr>
              <a:t>2. Settings</a:t>
            </a:r>
          </a:p>
          <a:p>
            <a:pPr algn="ctr"/>
            <a:endParaRPr lang="en-US" sz="1100">
              <a:solidFill>
                <a:schemeClr val="bg1">
                  <a:lumMod val="75000"/>
                </a:schemeClr>
              </a:solidFill>
            </a:endParaRPr>
          </a:p>
        </xdr:txBody>
      </xdr:sp>
      <xdr:sp macro="" textlink="">
        <xdr:nvSpPr>
          <xdr:cNvPr id="12" name="Rectangle 11">
            <a:hlinkClick xmlns:r="http://schemas.openxmlformats.org/officeDocument/2006/relationships" r:id="rId4"/>
            <a:extLst>
              <a:ext uri="{FF2B5EF4-FFF2-40B4-BE49-F238E27FC236}">
                <a16:creationId xmlns:a16="http://schemas.microsoft.com/office/drawing/2014/main" id="{458FBC00-772B-A71F-58AF-095B2866A9C1}"/>
              </a:ext>
            </a:extLst>
          </xdr:cNvPr>
          <xdr:cNvSpPr/>
        </xdr:nvSpPr>
        <xdr:spPr>
          <a:xfrm>
            <a:off x="7046698" y="0"/>
            <a:ext cx="2427851" cy="273879"/>
          </a:xfrm>
          <a:prstGeom prst="rect">
            <a:avLst/>
          </a:prstGeom>
          <a:solidFill>
            <a:srgbClr val="00423F"/>
          </a:solidFill>
          <a:ln w="19050">
            <a:solidFill>
              <a:srgbClr val="00423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solidFill>
                  <a:schemeClr val="bg1">
                    <a:lumMod val="75000"/>
                  </a:schemeClr>
                </a:solidFill>
              </a:rPr>
              <a:t>3. Calculator</a:t>
            </a:r>
          </a:p>
          <a:p>
            <a:pPr algn="ctr"/>
            <a:endParaRPr lang="en-US" sz="1100">
              <a:solidFill>
                <a:schemeClr val="bg1">
                  <a:lumMod val="75000"/>
                </a:schemeClr>
              </a:solidFill>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forms.office.com/Pages/ResponsePage.aspx?id=H6xrR7I22UqGmc2mutH4YkTo9xq9VRpCteO0lzUos9hUN1M5RVE4UElLN0hXQ0ZFU0FOVjlDSlEwMCQlQCN0PWc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ghgprotocol.org/calculation-tools/all-tool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F3632-476B-4C13-AEF1-0B211D457C6D}">
  <sheetPr>
    <tabColor rgb="FF00C6B9"/>
  </sheetPr>
  <dimension ref="A2:M29"/>
  <sheetViews>
    <sheetView showGridLines="0" showRowColHeaders="0" tabSelected="1" zoomScaleNormal="100" workbookViewId="0"/>
  </sheetViews>
  <sheetFormatPr defaultColWidth="10.88671875" defaultRowHeight="13.2" x14ac:dyDescent="0.25"/>
  <cols>
    <col min="1" max="1" width="5.44140625" style="543" customWidth="1"/>
    <col min="2" max="2" width="133" style="542" customWidth="1"/>
    <col min="3" max="16384" width="10.88671875" style="543"/>
  </cols>
  <sheetData>
    <row r="2" spans="1:13" x14ac:dyDescent="0.25">
      <c r="A2" s="541"/>
    </row>
    <row r="8" spans="1:13" ht="77.25" customHeight="1" x14ac:dyDescent="0.25">
      <c r="B8" s="545" t="s">
        <v>779</v>
      </c>
      <c r="C8" s="544"/>
      <c r="D8" s="544"/>
      <c r="E8" s="544"/>
      <c r="F8" s="544"/>
      <c r="G8" s="544"/>
      <c r="H8" s="544"/>
      <c r="I8" s="544"/>
      <c r="J8" s="544"/>
      <c r="K8" s="544"/>
      <c r="L8" s="544"/>
      <c r="M8" s="544"/>
    </row>
    <row r="9" spans="1:13" ht="13.8" x14ac:dyDescent="0.25">
      <c r="B9" s="544"/>
      <c r="C9" s="544"/>
      <c r="D9" s="544"/>
      <c r="E9" s="544"/>
      <c r="F9" s="544"/>
      <c r="G9" s="544"/>
      <c r="H9" s="544"/>
      <c r="I9" s="544"/>
      <c r="J9" s="544"/>
      <c r="K9" s="544"/>
      <c r="L9" s="544"/>
      <c r="M9" s="544"/>
    </row>
    <row r="10" spans="1:13" ht="13.8" x14ac:dyDescent="0.25">
      <c r="B10" s="547" t="s">
        <v>764</v>
      </c>
      <c r="C10" s="546"/>
      <c r="D10" s="546"/>
      <c r="E10" s="546"/>
      <c r="F10" s="546"/>
      <c r="G10" s="546"/>
      <c r="H10" s="546"/>
      <c r="I10" s="546"/>
      <c r="J10" s="546"/>
      <c r="K10" s="546"/>
      <c r="L10" s="546"/>
      <c r="M10" s="546"/>
    </row>
    <row r="11" spans="1:13" ht="207" x14ac:dyDescent="0.25">
      <c r="B11" s="544" t="s">
        <v>775</v>
      </c>
      <c r="C11"/>
      <c r="D11"/>
      <c r="E11"/>
      <c r="F11"/>
      <c r="G11"/>
      <c r="H11"/>
      <c r="I11"/>
      <c r="J11"/>
      <c r="K11"/>
      <c r="L11"/>
      <c r="M11"/>
    </row>
    <row r="12" spans="1:13" x14ac:dyDescent="0.25">
      <c r="B12"/>
      <c r="C12"/>
      <c r="D12"/>
      <c r="E12"/>
      <c r="F12"/>
      <c r="G12"/>
      <c r="H12"/>
      <c r="I12"/>
      <c r="J12"/>
      <c r="K12"/>
      <c r="L12"/>
      <c r="M12"/>
    </row>
    <row r="13" spans="1:13" ht="13.8" x14ac:dyDescent="0.25">
      <c r="B13" s="548" t="s">
        <v>776</v>
      </c>
      <c r="C13"/>
      <c r="D13"/>
      <c r="E13"/>
      <c r="F13"/>
      <c r="G13"/>
      <c r="H13"/>
      <c r="I13"/>
      <c r="J13"/>
      <c r="K13"/>
      <c r="L13"/>
      <c r="M13"/>
    </row>
    <row r="14" spans="1:13" x14ac:dyDescent="0.25">
      <c r="B14"/>
      <c r="C14"/>
      <c r="D14"/>
      <c r="E14"/>
      <c r="F14"/>
      <c r="G14"/>
      <c r="H14"/>
      <c r="I14"/>
      <c r="J14"/>
      <c r="K14"/>
      <c r="L14"/>
      <c r="M14"/>
    </row>
    <row r="15" spans="1:13" x14ac:dyDescent="0.25">
      <c r="B15"/>
      <c r="C15"/>
      <c r="D15"/>
      <c r="E15"/>
      <c r="F15"/>
      <c r="G15"/>
      <c r="H15"/>
      <c r="I15"/>
      <c r="J15"/>
      <c r="K15"/>
      <c r="L15"/>
      <c r="M15"/>
    </row>
    <row r="16" spans="1:13" x14ac:dyDescent="0.25">
      <c r="B16"/>
      <c r="C16"/>
      <c r="D16"/>
      <c r="E16"/>
      <c r="F16"/>
      <c r="G16"/>
      <c r="H16"/>
      <c r="I16"/>
      <c r="J16"/>
      <c r="K16"/>
      <c r="L16"/>
      <c r="M16"/>
    </row>
    <row r="17" spans="1:13" x14ac:dyDescent="0.25">
      <c r="B17"/>
      <c r="C17"/>
      <c r="D17"/>
      <c r="E17"/>
      <c r="F17"/>
      <c r="G17"/>
      <c r="H17"/>
      <c r="I17"/>
      <c r="J17"/>
      <c r="K17"/>
      <c r="L17"/>
      <c r="M17"/>
    </row>
    <row r="18" spans="1:13" x14ac:dyDescent="0.25">
      <c r="B18"/>
      <c r="C18"/>
      <c r="D18"/>
      <c r="E18"/>
      <c r="F18"/>
      <c r="G18"/>
      <c r="H18"/>
      <c r="I18"/>
      <c r="J18"/>
      <c r="K18"/>
      <c r="L18"/>
      <c r="M18"/>
    </row>
    <row r="19" spans="1:13" x14ac:dyDescent="0.25">
      <c r="B19"/>
      <c r="C19"/>
      <c r="D19"/>
      <c r="E19"/>
      <c r="F19"/>
      <c r="G19"/>
      <c r="H19"/>
      <c r="I19"/>
      <c r="J19"/>
      <c r="K19"/>
      <c r="L19"/>
      <c r="M19"/>
    </row>
    <row r="20" spans="1:13" x14ac:dyDescent="0.25">
      <c r="B20"/>
      <c r="C20"/>
      <c r="D20"/>
      <c r="E20"/>
      <c r="F20"/>
      <c r="G20"/>
      <c r="H20"/>
      <c r="I20"/>
      <c r="J20"/>
      <c r="K20"/>
      <c r="L20"/>
      <c r="M20"/>
    </row>
    <row r="21" spans="1:13" x14ac:dyDescent="0.25">
      <c r="B21"/>
      <c r="C21"/>
      <c r="D21"/>
      <c r="E21"/>
      <c r="F21"/>
      <c r="G21"/>
      <c r="H21"/>
      <c r="I21"/>
      <c r="J21"/>
      <c r="K21"/>
      <c r="L21"/>
      <c r="M21"/>
    </row>
    <row r="22" spans="1:13" x14ac:dyDescent="0.25">
      <c r="B22"/>
      <c r="C22"/>
      <c r="D22"/>
      <c r="E22"/>
      <c r="F22"/>
      <c r="G22"/>
      <c r="H22"/>
      <c r="I22"/>
      <c r="J22"/>
      <c r="K22"/>
      <c r="L22"/>
      <c r="M22"/>
    </row>
    <row r="23" spans="1:13" x14ac:dyDescent="0.25">
      <c r="B23"/>
      <c r="C23"/>
      <c r="D23"/>
      <c r="E23"/>
      <c r="F23"/>
      <c r="G23"/>
      <c r="H23"/>
      <c r="I23"/>
      <c r="J23"/>
      <c r="K23"/>
      <c r="L23"/>
      <c r="M23"/>
    </row>
    <row r="24" spans="1:13" x14ac:dyDescent="0.25">
      <c r="B24"/>
      <c r="C24"/>
      <c r="D24"/>
      <c r="E24"/>
      <c r="F24"/>
      <c r="G24"/>
      <c r="H24"/>
      <c r="I24"/>
      <c r="J24"/>
      <c r="K24"/>
      <c r="L24"/>
      <c r="M24"/>
    </row>
    <row r="25" spans="1:13" x14ac:dyDescent="0.25">
      <c r="B25"/>
      <c r="C25"/>
      <c r="D25"/>
      <c r="E25"/>
      <c r="F25"/>
      <c r="G25"/>
      <c r="H25"/>
      <c r="I25"/>
      <c r="J25"/>
      <c r="K25"/>
      <c r="L25"/>
      <c r="M25"/>
    </row>
    <row r="26" spans="1:13" x14ac:dyDescent="0.25">
      <c r="B26"/>
      <c r="C26"/>
      <c r="D26"/>
      <c r="E26"/>
      <c r="F26"/>
      <c r="G26"/>
      <c r="H26"/>
      <c r="I26"/>
      <c r="J26"/>
      <c r="K26"/>
      <c r="L26"/>
      <c r="M26"/>
    </row>
    <row r="27" spans="1:13" x14ac:dyDescent="0.25">
      <c r="B27"/>
      <c r="C27"/>
      <c r="D27"/>
      <c r="E27"/>
      <c r="F27"/>
      <c r="G27"/>
      <c r="H27"/>
      <c r="I27"/>
      <c r="J27"/>
      <c r="K27"/>
      <c r="L27"/>
      <c r="M27"/>
    </row>
    <row r="28" spans="1:13" x14ac:dyDescent="0.25">
      <c r="A28" s="541"/>
      <c r="B28"/>
      <c r="C28"/>
      <c r="D28"/>
      <c r="E28"/>
      <c r="F28"/>
      <c r="G28"/>
      <c r="H28"/>
      <c r="I28"/>
      <c r="J28"/>
      <c r="K28"/>
      <c r="L28"/>
      <c r="M28"/>
    </row>
    <row r="29" spans="1:13" x14ac:dyDescent="0.25">
      <c r="A29" s="541"/>
    </row>
  </sheetData>
  <sheetProtection algorithmName="SHA-512" hashValue="q4cSwuZQYMzfz5a3ZYfaLPuDZpgRHRyPhKC94+0CxADwn+P0xRxpBDoBtwoCVe+ET7ijtpog5E9zl9lTv0Qhaw==" saltValue="do9qM87P+bxcLYTpiNyvnA==" spinCount="100000" sheet="1" objects="1" scenarios="1"/>
  <hyperlinks>
    <hyperlink ref="B13" r:id="rId1" xr:uid="{AA28C672-618A-4B9D-8EE8-A05C2640B0EB}"/>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59999389629810485"/>
  </sheetPr>
  <dimension ref="B1:AJ37"/>
  <sheetViews>
    <sheetView topLeftCell="U9" workbookViewId="0">
      <selection activeCell="F17" sqref="F17"/>
    </sheetView>
  </sheetViews>
  <sheetFormatPr defaultRowHeight="13.2" x14ac:dyDescent="0.25"/>
  <cols>
    <col min="3" max="3" width="14.109375" customWidth="1"/>
    <col min="4" max="5" width="16" customWidth="1"/>
    <col min="6" max="6" width="9.33203125" bestFit="1" customWidth="1"/>
    <col min="7" max="7" width="14.33203125" customWidth="1"/>
    <col min="8" max="8" width="18.109375" customWidth="1"/>
    <col min="9" max="9" width="19.5546875" hidden="1" customWidth="1"/>
    <col min="10" max="10" width="14.88671875" customWidth="1"/>
    <col min="11" max="11" width="22.33203125" customWidth="1"/>
    <col min="12" max="12" width="17" customWidth="1"/>
    <col min="13" max="14" width="20.88671875" customWidth="1"/>
    <col min="15" max="15" width="27.6640625" customWidth="1"/>
    <col min="16" max="16" width="24.5546875" customWidth="1"/>
    <col min="17" max="17" width="22" customWidth="1"/>
    <col min="18" max="18" width="28.109375" customWidth="1"/>
    <col min="19" max="19" width="16.109375" customWidth="1"/>
    <col min="20" max="20" width="15" customWidth="1"/>
    <col min="21" max="21" width="15.88671875" customWidth="1"/>
    <col min="22" max="22" width="16.33203125" customWidth="1"/>
    <col min="23" max="23" width="15.109375" customWidth="1"/>
    <col min="24" max="24" width="18.109375" customWidth="1"/>
    <col min="25" max="25" width="20" customWidth="1"/>
    <col min="26" max="26" width="15.33203125" customWidth="1"/>
    <col min="27" max="27" width="17.5546875" customWidth="1"/>
    <col min="28" max="28" width="16.5546875" customWidth="1"/>
    <col min="29" max="34" width="17" customWidth="1"/>
    <col min="35" max="35" width="15.88671875" customWidth="1"/>
  </cols>
  <sheetData>
    <row r="1" spans="2:35" ht="13.8" thickBot="1" x14ac:dyDescent="0.3"/>
    <row r="2" spans="2:35" ht="16.2" thickBot="1" x14ac:dyDescent="0.35">
      <c r="B2" s="708" t="s">
        <v>721</v>
      </c>
      <c r="C2" s="709"/>
      <c r="D2" s="709" t="s">
        <v>297</v>
      </c>
      <c r="E2" s="709"/>
      <c r="F2" s="709"/>
      <c r="G2" s="709"/>
      <c r="H2" s="709"/>
      <c r="I2" s="709"/>
      <c r="J2" s="709"/>
      <c r="K2" s="709"/>
      <c r="L2" s="709"/>
      <c r="M2" s="709"/>
      <c r="N2" s="709"/>
      <c r="O2" s="709"/>
      <c r="P2" s="733"/>
    </row>
    <row r="3" spans="2:35" ht="37.5" customHeight="1" thickBot="1" x14ac:dyDescent="0.3">
      <c r="B3" s="734" t="s">
        <v>246</v>
      </c>
      <c r="C3" s="735"/>
      <c r="D3" s="735"/>
      <c r="E3" s="735"/>
      <c r="F3" s="735"/>
      <c r="G3" s="735"/>
      <c r="H3" s="735"/>
      <c r="I3" s="735"/>
      <c r="J3" s="735"/>
      <c r="K3" s="735"/>
      <c r="L3" s="735"/>
      <c r="M3" s="735"/>
      <c r="N3" s="735"/>
      <c r="O3" s="735"/>
      <c r="P3" s="736"/>
    </row>
    <row r="4" spans="2:35" ht="37.5" customHeight="1" x14ac:dyDescent="0.25">
      <c r="B4" s="117"/>
      <c r="C4" s="117"/>
      <c r="D4" s="117"/>
      <c r="E4" s="117"/>
      <c r="F4" s="117"/>
      <c r="G4" s="117"/>
      <c r="H4" s="117"/>
      <c r="I4" s="117"/>
      <c r="J4" s="117"/>
      <c r="K4" s="117"/>
      <c r="L4" s="117"/>
      <c r="M4" s="117"/>
      <c r="N4" s="117"/>
      <c r="O4" s="117"/>
      <c r="P4" s="117"/>
    </row>
    <row r="7" spans="2:35" ht="13.8" thickBot="1" x14ac:dyDescent="0.3"/>
    <row r="8" spans="2:35" ht="27.75" customHeight="1" thickBot="1" x14ac:dyDescent="0.3">
      <c r="B8" s="737" t="s">
        <v>242</v>
      </c>
      <c r="C8" s="738"/>
      <c r="D8" s="738"/>
      <c r="E8" s="738"/>
      <c r="F8" s="738"/>
      <c r="G8" s="738"/>
      <c r="H8" s="749"/>
      <c r="I8" s="366"/>
      <c r="J8" s="728" t="s">
        <v>243</v>
      </c>
      <c r="K8" s="729"/>
      <c r="L8" s="748"/>
      <c r="M8" s="725" t="s">
        <v>706</v>
      </c>
      <c r="N8" s="726"/>
      <c r="O8" s="750"/>
      <c r="P8" s="728" t="s">
        <v>107</v>
      </c>
      <c r="Q8" s="748"/>
      <c r="R8" s="725" t="s">
        <v>708</v>
      </c>
      <c r="S8" s="726"/>
      <c r="T8" s="726"/>
      <c r="U8" s="726"/>
      <c r="V8" s="726"/>
      <c r="W8" s="726"/>
      <c r="X8" s="750"/>
      <c r="Y8" s="745" t="s">
        <v>116</v>
      </c>
      <c r="Z8" s="746"/>
      <c r="AA8" s="746"/>
      <c r="AB8" s="746"/>
      <c r="AC8" s="747"/>
      <c r="AD8" s="742" t="s">
        <v>339</v>
      </c>
      <c r="AE8" s="743"/>
      <c r="AF8" s="743"/>
      <c r="AG8" s="743"/>
      <c r="AH8" s="744"/>
      <c r="AI8" s="740" t="s">
        <v>298</v>
      </c>
    </row>
    <row r="9" spans="2:35" ht="87.75" customHeight="1" thickBot="1" x14ac:dyDescent="0.3">
      <c r="B9" s="350" t="s">
        <v>42</v>
      </c>
      <c r="C9" s="351" t="s">
        <v>39</v>
      </c>
      <c r="D9" s="351" t="s">
        <v>21</v>
      </c>
      <c r="E9" s="351" t="s">
        <v>429</v>
      </c>
      <c r="F9" s="351" t="s">
        <v>40</v>
      </c>
      <c r="G9" s="351" t="s">
        <v>41</v>
      </c>
      <c r="H9" s="351" t="s">
        <v>157</v>
      </c>
      <c r="I9" s="367"/>
      <c r="J9" s="368" t="s">
        <v>278</v>
      </c>
      <c r="K9" s="369" t="s">
        <v>734</v>
      </c>
      <c r="L9" s="370" t="s">
        <v>101</v>
      </c>
      <c r="M9" s="371" t="s">
        <v>715</v>
      </c>
      <c r="N9" s="429" t="s">
        <v>737</v>
      </c>
      <c r="O9" s="372" t="s">
        <v>291</v>
      </c>
      <c r="P9" s="368" t="s">
        <v>290</v>
      </c>
      <c r="Q9" s="370" t="s">
        <v>291</v>
      </c>
      <c r="R9" s="373" t="s">
        <v>193</v>
      </c>
      <c r="S9" s="374" t="s">
        <v>109</v>
      </c>
      <c r="T9" s="374" t="s">
        <v>110</v>
      </c>
      <c r="U9" s="374" t="s">
        <v>293</v>
      </c>
      <c r="V9" s="374" t="s">
        <v>294</v>
      </c>
      <c r="W9" s="374" t="s">
        <v>295</v>
      </c>
      <c r="X9" s="375" t="s">
        <v>296</v>
      </c>
      <c r="Y9" s="368" t="s">
        <v>216</v>
      </c>
      <c r="Z9" s="369" t="s">
        <v>119</v>
      </c>
      <c r="AA9" s="369" t="s">
        <v>121</v>
      </c>
      <c r="AB9" s="369" t="s">
        <v>120</v>
      </c>
      <c r="AC9" s="370" t="s">
        <v>296</v>
      </c>
      <c r="AD9" s="371" t="s">
        <v>340</v>
      </c>
      <c r="AE9" s="431" t="s">
        <v>737</v>
      </c>
      <c r="AF9" s="374" t="s">
        <v>341</v>
      </c>
      <c r="AG9" s="374" t="s">
        <v>342</v>
      </c>
      <c r="AH9" s="372" t="s">
        <v>343</v>
      </c>
      <c r="AI9" s="741"/>
    </row>
    <row r="10" spans="2:35" x14ac:dyDescent="0.25">
      <c r="B10" s="12" t="str">
        <f>IF('3. Calculator'!B8=0, "", '3. Calculator'!B8)</f>
        <v/>
      </c>
      <c r="C10" s="327" t="str">
        <f>IF('3. Calculator'!D8=0, "", '3. Calculator'!D8)</f>
        <v/>
      </c>
      <c r="D10" s="328" t="str">
        <f>IF('3. Calculator'!E8=0, "", '3. Calculator'!E8)</f>
        <v/>
      </c>
      <c r="E10" s="328">
        <f>IF('3. Calculator'!L8="", 1, IF('3. Calculator'!L8="Not applicable", 1, IF('3. Calculator'!L8="Lower", 1, VLOOKUP('3. Calculator'!E8, HVConversionValues,2,FALSE))))</f>
        <v>1</v>
      </c>
      <c r="F10" s="328" t="str">
        <f>IF('3. Calculator'!H8=0, "", '3. Calculator'!H8)</f>
        <v/>
      </c>
      <c r="G10" s="328" t="str">
        <f>IF('3. Calculator'!I8=0, "", '3. Calculator'!I8)</f>
        <v/>
      </c>
      <c r="H10" s="329" t="str">
        <f>IF('3. Calculator'!C8=0, "", '3. Calculator'!C8)</f>
        <v/>
      </c>
      <c r="I10" s="344" t="str">
        <f t="shared" ref="I10:I28" si="0">IF(ISNA(VLOOKUP(H10,N2OIndustryKeys,2,FALSE)),"",(VLOOKUP(H10,N2OIndustryKeys,2,FALSE)))</f>
        <v/>
      </c>
      <c r="J10" s="328" t="str">
        <f ca="1">IF(ghostSpreadsheet_N2O!H10="","",VLOOKUP(D10, INDIRECT(I10), 2, FALSE))</f>
        <v/>
      </c>
      <c r="K10" s="414" t="str">
        <f>IF(ISNA(VLOOKUP('3. Calculator'!E8, fuelInfo, 4, FALSE)),"", (E10*VLOOKUP('3. Calculator'!E8, fuelInfo, 4, FALSE)))</f>
        <v/>
      </c>
      <c r="L10" s="381" t="str">
        <f>IF(ISNA(VLOOKUP('3. Calculator'!I8,unitStates,3,FALSE)), "", (VLOOKUP('3. Calculator'!I8,unitStates,3,FALSE)))</f>
        <v/>
      </c>
      <c r="M10" s="376" t="str">
        <f>IF(C10="My fuels", "", IF(L10=0, VLOOKUP('3. Calculator'!I8, energyEFs,3,FALSE),""))</f>
        <v/>
      </c>
      <c r="N10" s="345" t="str">
        <f>IF(M10="","",J10*(1/E10))</f>
        <v/>
      </c>
      <c r="O10" s="378" t="str">
        <f t="shared" ref="O10:O28" si="1">IF(M10="","", F10*J10*(1/E10)*M10)</f>
        <v/>
      </c>
      <c r="P10" s="376" t="str">
        <f>IF(C10="My fuels", "", IF(L10=1, VLOOKUP('3. Calculator'!I8, solidEFs,3,FALSE),""))</f>
        <v/>
      </c>
      <c r="Q10" s="378" t="str">
        <f>IF(P10="", "", F10*J10*(1/E10)*K10*P10)</f>
        <v/>
      </c>
      <c r="R10" s="376" t="str">
        <f>IF(L10=2,IF(ISNA(VLOOKUP('3. Calculator'!C8,industryEFTableKeysN2O, 2,FALSE)), "", VLOOKUP('3. Calculator'!C8,industryEFTableKeysN2O, 2,FALSE)),"")</f>
        <v/>
      </c>
      <c r="S10" s="377" t="str">
        <f ca="1">IF(C10="My fuels", "", IF(L10=2, VLOOKUP(D10, INDIRECT(R10),6,FALSE),""))</f>
        <v/>
      </c>
      <c r="T10" s="377" t="str">
        <f xml:space="preserve"> IF(ISNA(VLOOKUP('3. Calculator'!I8,unitStates,4, FALSE)), "", (VLOOKUP('3. Calculator'!I8,unitStates,4, FALSE)))</f>
        <v/>
      </c>
      <c r="U10" s="377" t="str">
        <f t="shared" ref="U10:U28" si="2">IF(L10=2, F10*S10,"")</f>
        <v/>
      </c>
      <c r="V10" s="377" t="str">
        <f t="shared" ref="V10:V28" ca="1" si="3">IF(S10="", "", IF(T10=2, 3.785,1))</f>
        <v/>
      </c>
      <c r="W10" s="377" t="str">
        <f t="shared" ref="W10:W28" ca="1" si="4">IF(S10="","",IF(T10=3, 158.99,1))</f>
        <v/>
      </c>
      <c r="X10" s="378" t="str">
        <f t="shared" ref="X10:X28" ca="1" si="5">+IF(S10="", "", U10*V10*W10)</f>
        <v/>
      </c>
      <c r="Y10" s="376" t="str">
        <f>IF(L10=3, IF(ISNA(VLOOKUP('3. Calculator'!C8,industryEFTableKeysN2O, 3,FALSE)), "", VLOOKUP('3. Calculator'!C8,industryEFTableKeysN2O, 3,FALSE)), "")</f>
        <v/>
      </c>
      <c r="Z10" s="377" t="str">
        <f ca="1">IF(C10="My fuels", "", IF(L10=3, VLOOKUP(D10, INDIRECT(Y10),6,FALSE),""))</f>
        <v/>
      </c>
      <c r="AA10" s="377" t="str">
        <f ca="1">+IF(Z10="", "", IF(ISNA(VLOOKUP('3. Calculator'!I8,unitStates,5, FALSE)), "", (VLOOKUP('3. Calculator'!I8,unitStates,5, FALSE))))</f>
        <v/>
      </c>
      <c r="AB10" s="377" t="str">
        <f t="shared" ref="AB10:AB28" ca="1" si="6">IF(Z10="","", IF(AA10=1,1,0.02832))</f>
        <v/>
      </c>
      <c r="AC10" s="378" t="str">
        <f t="shared" ref="AC10:AC28" ca="1" si="7">IF(Z10="", "", F10*Z10*AB10)</f>
        <v/>
      </c>
      <c r="AD10" s="344" t="str">
        <f t="shared" ref="AD10:AD28" si="8">IF(C10="My fuels", VLOOKUP(D10, customTable, 13, FALSE), "")</f>
        <v/>
      </c>
      <c r="AE10" s="344" t="str">
        <f>IF(C10="My fuels", VLOOKUP(D10, customTable,3, FALSE)&amp;" "&amp;VLOOKUP(D10, customTable,6, FALSE)&amp;"/"&amp;VLOOKUP(D10, customTable,7, FALSE),"")</f>
        <v/>
      </c>
      <c r="AF10" s="328" t="str">
        <f t="shared" ref="AF10:AF28" si="9">IF(AD10="", "", AD10*F10)</f>
        <v/>
      </c>
      <c r="AG10" s="328" t="str">
        <f t="shared" ref="AG10:AG28" si="10">+IF(ISERROR(VLOOKUP(G10,customConversionFactors, 4, FALSE)), "", VLOOKUP(G10,customConversionFactors, 4, FALSE))</f>
        <v/>
      </c>
      <c r="AH10" s="328" t="str">
        <f t="shared" ref="AH10:AH28" si="11">IF(ISERROR(IF(AD10="", "", AF10*AG10)), "", IF(AD10="", "", AF10*AG10))</f>
        <v/>
      </c>
      <c r="AI10" s="328">
        <f t="shared" ref="AI10:AI28" ca="1" si="12">IF(AH10="", IF(O10="",0,O10)+IF(Q10="",0,Q10)+IF(X10="",0,X10)+IF(AC10="",0,AC10), AH10)</f>
        <v>0</v>
      </c>
    </row>
    <row r="11" spans="2:35" x14ac:dyDescent="0.25">
      <c r="B11" s="12" t="str">
        <f>IF('3. Calculator'!B9=0, "", '3. Calculator'!B9)</f>
        <v/>
      </c>
      <c r="C11" s="330" t="str">
        <f>IF('3. Calculator'!D9=0, "", '3. Calculator'!D9)</f>
        <v/>
      </c>
      <c r="D11" s="326" t="str">
        <f>IF('3. Calculator'!E9=0, "", '3. Calculator'!E9)</f>
        <v/>
      </c>
      <c r="E11" s="326">
        <f>IF('3. Calculator'!L9="", 1, IF('3. Calculator'!L9="Not applicable", 1, IF('3. Calculator'!L9="Lower", 1, VLOOKUP('3. Calculator'!E9, HVConversionValues,2,FALSE))))</f>
        <v>1</v>
      </c>
      <c r="F11" s="326" t="str">
        <f>IF('3. Calculator'!H9=0, "", '3. Calculator'!H9)</f>
        <v/>
      </c>
      <c r="G11" s="326" t="str">
        <f>IF('3. Calculator'!I9=0, "", '3. Calculator'!I9)</f>
        <v/>
      </c>
      <c r="H11" s="331" t="str">
        <f>IF('3. Calculator'!C9=0, "", '3. Calculator'!C9)</f>
        <v/>
      </c>
      <c r="I11" s="345" t="str">
        <f t="shared" si="0"/>
        <v/>
      </c>
      <c r="J11" s="326" t="str">
        <f ca="1">IF(ghostSpreadsheet_N2O!H11="","",VLOOKUP(D11, INDIRECT(I11), 2, FALSE))</f>
        <v/>
      </c>
      <c r="K11" s="415" t="str">
        <f>IF(ISNA(VLOOKUP('3. Calculator'!E9, fuelInfo, 4, FALSE)),"", (E11*VLOOKUP('3. Calculator'!E9, fuelInfo, 4, FALSE)))</f>
        <v/>
      </c>
      <c r="L11" s="382" t="str">
        <f>IF(ISNA(VLOOKUP('3. Calculator'!I9,unitStates,3,FALSE)), "", (VLOOKUP('3. Calculator'!I9,unitStates,3,FALSE)))</f>
        <v/>
      </c>
      <c r="M11" s="379" t="str">
        <f>IF(C11="My fuels", "", IF(L11=0, VLOOKUP('3. Calculator'!I9, energyEFs,3,FALSE),""))</f>
        <v/>
      </c>
      <c r="N11" s="428"/>
      <c r="O11" s="380" t="str">
        <f t="shared" si="1"/>
        <v/>
      </c>
      <c r="P11" s="379" t="str">
        <f>IF(C11="My fuels", "", IF(L11=1, VLOOKUP('3. Calculator'!I9, solidEFs,3,FALSE),""))</f>
        <v/>
      </c>
      <c r="Q11" s="380" t="str">
        <f t="shared" ref="Q11:Q28" si="13">IF(P11="", "", F11*J11*(1/E11)*K11*P11)</f>
        <v/>
      </c>
      <c r="R11" s="379" t="str">
        <f>IF(L11=2,IF(ISNA(VLOOKUP('3. Calculator'!C9,industryEFTableKeysN2O, 2,FALSE)), "", VLOOKUP('3. Calculator'!C9,industryEFTableKeysN2O, 2,FALSE)),"")</f>
        <v/>
      </c>
      <c r="S11" s="326" t="str">
        <f t="shared" ref="S11:S28" ca="1" si="14">IF(C11="My fuels", "", IF(L11=2, VLOOKUP(D11, INDIRECT(R11),6,FALSE),""))</f>
        <v/>
      </c>
      <c r="T11" s="326" t="str">
        <f xml:space="preserve"> IF(ISNA(VLOOKUP('3. Calculator'!I9,unitStates,4, FALSE)), "", (VLOOKUP('3. Calculator'!I9,unitStates,4, FALSE)))</f>
        <v/>
      </c>
      <c r="U11" s="326" t="str">
        <f t="shared" si="2"/>
        <v/>
      </c>
      <c r="V11" s="326" t="str">
        <f t="shared" ca="1" si="3"/>
        <v/>
      </c>
      <c r="W11" s="326" t="str">
        <f t="shared" ca="1" si="4"/>
        <v/>
      </c>
      <c r="X11" s="380" t="str">
        <f t="shared" ca="1" si="5"/>
        <v/>
      </c>
      <c r="Y11" s="379" t="str">
        <f>IF(L11=3, IF(ISNA(VLOOKUP('3. Calculator'!C9,industryEFTableKeysN2O, 3,FALSE)), "", VLOOKUP('3. Calculator'!C9,industryEFTableKeysN2O, 3,FALSE)), "")</f>
        <v/>
      </c>
      <c r="Z11" s="326" t="str">
        <f t="shared" ref="Z11:Z28" ca="1" si="15">IF(C11="My fuels", "", IF(L11=3, VLOOKUP(D11, INDIRECT(Y11),6,FALSE),""))</f>
        <v/>
      </c>
      <c r="AA11" s="326" t="str">
        <f ca="1">+IF(Z11="", "", IF(ISNA(VLOOKUP('3. Calculator'!I9,unitStates,5, FALSE)), "", (VLOOKUP('3. Calculator'!I9,unitStates,5, FALSE))))</f>
        <v/>
      </c>
      <c r="AB11" s="326" t="str">
        <f t="shared" ca="1" si="6"/>
        <v/>
      </c>
      <c r="AC11" s="380" t="str">
        <f t="shared" ca="1" si="7"/>
        <v/>
      </c>
      <c r="AD11" s="345" t="str">
        <f t="shared" si="8"/>
        <v/>
      </c>
      <c r="AE11" s="345" t="str">
        <f>IF(C11="My fuels", VLOOKUP(D11, customTable,5, FALSE)&amp;" "&amp;VLOOKUP(D11, customTable,6, FALSE)&amp;"/"&amp;VLOOKUP(D11, customTable,7, FALSE),"")</f>
        <v/>
      </c>
      <c r="AF11" s="326" t="str">
        <f t="shared" si="9"/>
        <v/>
      </c>
      <c r="AG11" s="326" t="str">
        <f t="shared" si="10"/>
        <v/>
      </c>
      <c r="AH11" s="326" t="str">
        <f t="shared" si="11"/>
        <v/>
      </c>
      <c r="AI11" s="326">
        <f t="shared" ca="1" si="12"/>
        <v>0</v>
      </c>
    </row>
    <row r="12" spans="2:35" x14ac:dyDescent="0.25">
      <c r="B12" s="12" t="str">
        <f>IF('3. Calculator'!B10=0, "", '3. Calculator'!B10)</f>
        <v/>
      </c>
      <c r="C12" s="330" t="str">
        <f>IF('3. Calculator'!D10=0, "", '3. Calculator'!D10)</f>
        <v/>
      </c>
      <c r="D12" s="326" t="str">
        <f>IF('3. Calculator'!E10=0, "", '3. Calculator'!E10)</f>
        <v/>
      </c>
      <c r="E12" s="326">
        <f>IF('3. Calculator'!L10="", 1, IF('3. Calculator'!L10="Not applicable", 1, IF('3. Calculator'!L10="Lower", 1, VLOOKUP('3. Calculator'!E10, HVConversionValues,2,FALSE))))</f>
        <v>1</v>
      </c>
      <c r="F12" s="326" t="str">
        <f>IF('3. Calculator'!H10=0, "", '3. Calculator'!H10)</f>
        <v/>
      </c>
      <c r="G12" s="326" t="str">
        <f>IF('3. Calculator'!I10=0, "", '3. Calculator'!I10)</f>
        <v/>
      </c>
      <c r="H12" s="331" t="str">
        <f>IF('3. Calculator'!C10=0, "", '3. Calculator'!C10)</f>
        <v/>
      </c>
      <c r="I12" s="345" t="str">
        <f t="shared" si="0"/>
        <v/>
      </c>
      <c r="J12" s="326" t="str">
        <f ca="1">IF(ghostSpreadsheet_N2O!H12="","",VLOOKUP(D12, INDIRECT(I12), 2, FALSE))</f>
        <v/>
      </c>
      <c r="K12" s="415" t="str">
        <f>IF(ISNA(VLOOKUP('3. Calculator'!E10, fuelInfo, 4, FALSE)),"", (E12*VLOOKUP('3. Calculator'!E10, fuelInfo, 4, FALSE)))</f>
        <v/>
      </c>
      <c r="L12" s="382" t="str">
        <f>IF(ISNA(VLOOKUP('3. Calculator'!I10,unitStates,3,FALSE)), "", (VLOOKUP('3. Calculator'!I10,unitStates,3,FALSE)))</f>
        <v/>
      </c>
      <c r="M12" s="379" t="str">
        <f>IF(C12="My fuels", "", IF(L12=0, VLOOKUP('3. Calculator'!I10, energyEFs,3,FALSE),""))</f>
        <v/>
      </c>
      <c r="N12" s="428"/>
      <c r="O12" s="380" t="str">
        <f t="shared" si="1"/>
        <v/>
      </c>
      <c r="P12" s="379" t="str">
        <f>IF(C12="My fuels", "", IF(L12=1, VLOOKUP('3. Calculator'!I10, solidEFs,3,FALSE),""))</f>
        <v/>
      </c>
      <c r="Q12" s="380" t="str">
        <f t="shared" si="13"/>
        <v/>
      </c>
      <c r="R12" s="379" t="str">
        <f>IF(L12=2,IF(ISNA(VLOOKUP('3. Calculator'!C10,industryEFTableKeysN2O, 2,FALSE)), "", VLOOKUP('3. Calculator'!C10,industryEFTableKeysN2O, 2,FALSE)),"")</f>
        <v/>
      </c>
      <c r="S12" s="326" t="str">
        <f t="shared" ca="1" si="14"/>
        <v/>
      </c>
      <c r="T12" s="326" t="str">
        <f xml:space="preserve"> IF(ISNA(VLOOKUP('3. Calculator'!I10,unitStates,4, FALSE)), "", (VLOOKUP('3. Calculator'!I10,unitStates,4, FALSE)))</f>
        <v/>
      </c>
      <c r="U12" s="326" t="str">
        <f t="shared" si="2"/>
        <v/>
      </c>
      <c r="V12" s="326" t="str">
        <f t="shared" ca="1" si="3"/>
        <v/>
      </c>
      <c r="W12" s="326" t="str">
        <f t="shared" ca="1" si="4"/>
        <v/>
      </c>
      <c r="X12" s="380" t="str">
        <f t="shared" ca="1" si="5"/>
        <v/>
      </c>
      <c r="Y12" s="379" t="str">
        <f>IF(L12=3, IF(ISNA(VLOOKUP('3. Calculator'!C10,industryEFTableKeysN2O, 3,FALSE)), "", VLOOKUP('3. Calculator'!C10,industryEFTableKeysN2O, 3,FALSE)), "")</f>
        <v/>
      </c>
      <c r="Z12" s="326" t="str">
        <f t="shared" ca="1" si="15"/>
        <v/>
      </c>
      <c r="AA12" s="326" t="str">
        <f ca="1">+IF(Z12="", "", IF(ISNA(VLOOKUP('3. Calculator'!I10,unitStates,5, FALSE)), "", (VLOOKUP('3. Calculator'!I10,unitStates,5, FALSE))))</f>
        <v/>
      </c>
      <c r="AB12" s="326" t="str">
        <f t="shared" ca="1" si="6"/>
        <v/>
      </c>
      <c r="AC12" s="380" t="str">
        <f t="shared" ca="1" si="7"/>
        <v/>
      </c>
      <c r="AD12" s="345" t="str">
        <f t="shared" si="8"/>
        <v/>
      </c>
      <c r="AE12" s="345" t="str">
        <f t="shared" ref="AE12:AE28" si="16">IF(C12="My fuels", VLOOKUP(D12, customTable,3, FALSE)&amp;" "&amp;VLOOKUP(D12, customTable,6, FALSE)&amp;"/"&amp;VLOOKUP(D12, customTable,7, FALSE),"")</f>
        <v/>
      </c>
      <c r="AF12" s="326" t="str">
        <f t="shared" si="9"/>
        <v/>
      </c>
      <c r="AG12" s="326" t="str">
        <f t="shared" si="10"/>
        <v/>
      </c>
      <c r="AH12" s="326" t="str">
        <f t="shared" si="11"/>
        <v/>
      </c>
      <c r="AI12" s="326">
        <f t="shared" ca="1" si="12"/>
        <v>0</v>
      </c>
    </row>
    <row r="13" spans="2:35" x14ac:dyDescent="0.25">
      <c r="B13" s="12" t="str">
        <f>IF('3. Calculator'!B11=0, "", '3. Calculator'!B11)</f>
        <v/>
      </c>
      <c r="C13" s="330" t="str">
        <f>IF('3. Calculator'!D11=0, "", '3. Calculator'!D11)</f>
        <v/>
      </c>
      <c r="D13" s="326" t="str">
        <f>IF('3. Calculator'!E11=0, "", '3. Calculator'!E11)</f>
        <v/>
      </c>
      <c r="E13" s="326">
        <f>IF('3. Calculator'!L11="", 1, IF('3. Calculator'!L11="Not applicable", 1, IF('3. Calculator'!L11="Lower", 1, VLOOKUP('3. Calculator'!E11, HVConversionValues,2,FALSE))))</f>
        <v>1</v>
      </c>
      <c r="F13" s="326" t="str">
        <f>IF('3. Calculator'!H11=0, "", '3. Calculator'!H11)</f>
        <v/>
      </c>
      <c r="G13" s="326" t="str">
        <f>IF('3. Calculator'!I11=0, "", '3. Calculator'!I11)</f>
        <v/>
      </c>
      <c r="H13" s="331" t="str">
        <f>IF('3. Calculator'!C11=0, "", '3. Calculator'!C11)</f>
        <v/>
      </c>
      <c r="I13" s="345" t="str">
        <f t="shared" si="0"/>
        <v/>
      </c>
      <c r="J13" s="326" t="str">
        <f ca="1">IF(ghostSpreadsheet_N2O!H13="","",VLOOKUP(D13, INDIRECT(I13), 2, FALSE))</f>
        <v/>
      </c>
      <c r="K13" s="415" t="str">
        <f>IF(ISNA(VLOOKUP('3. Calculator'!E11, fuelInfo, 4, FALSE)),"", (E13*VLOOKUP('3. Calculator'!E11, fuelInfo, 4, FALSE)))</f>
        <v/>
      </c>
      <c r="L13" s="382" t="str">
        <f>IF(ISNA(VLOOKUP('3. Calculator'!I11,unitStates,3,FALSE)), "", (VLOOKUP('3. Calculator'!I11,unitStates,3,FALSE)))</f>
        <v/>
      </c>
      <c r="M13" s="379" t="str">
        <f>IF(C13="My fuels", "", IF(L13=0, VLOOKUP('3. Calculator'!I11, energyEFs,3,FALSE),""))</f>
        <v/>
      </c>
      <c r="N13" s="428"/>
      <c r="O13" s="380" t="str">
        <f t="shared" si="1"/>
        <v/>
      </c>
      <c r="P13" s="379" t="str">
        <f>IF(C13="My fuels", "", IF(L13=1, VLOOKUP('3. Calculator'!I11, solidEFs,3,FALSE),""))</f>
        <v/>
      </c>
      <c r="Q13" s="380" t="str">
        <f t="shared" si="13"/>
        <v/>
      </c>
      <c r="R13" s="379" t="str">
        <f>IF(L13=2,IF(ISNA(VLOOKUP('3. Calculator'!C11,industryEFTableKeysN2O, 2,FALSE)), "", VLOOKUP('3. Calculator'!C11,industryEFTableKeysN2O, 2,FALSE)),"")</f>
        <v/>
      </c>
      <c r="S13" s="326" t="str">
        <f t="shared" ca="1" si="14"/>
        <v/>
      </c>
      <c r="T13" s="326" t="str">
        <f xml:space="preserve"> IF(ISNA(VLOOKUP('3. Calculator'!I11,unitStates,4, FALSE)), "", (VLOOKUP('3. Calculator'!I11,unitStates,4, FALSE)))</f>
        <v/>
      </c>
      <c r="U13" s="326" t="str">
        <f t="shared" si="2"/>
        <v/>
      </c>
      <c r="V13" s="326" t="str">
        <f t="shared" ca="1" si="3"/>
        <v/>
      </c>
      <c r="W13" s="326" t="str">
        <f t="shared" ca="1" si="4"/>
        <v/>
      </c>
      <c r="X13" s="380" t="str">
        <f t="shared" ca="1" si="5"/>
        <v/>
      </c>
      <c r="Y13" s="379" t="str">
        <f>IF(L13=3, IF(ISNA(VLOOKUP('3. Calculator'!C11,industryEFTableKeysN2O, 3,FALSE)), "", VLOOKUP('3. Calculator'!C11,industryEFTableKeysN2O, 3,FALSE)), "")</f>
        <v/>
      </c>
      <c r="Z13" s="326" t="str">
        <f t="shared" ca="1" si="15"/>
        <v/>
      </c>
      <c r="AA13" s="326" t="str">
        <f ca="1">+IF(Z13="", "", IF(ISNA(VLOOKUP('3. Calculator'!I11,unitStates,5, FALSE)), "", (VLOOKUP('3. Calculator'!I11,unitStates,5, FALSE))))</f>
        <v/>
      </c>
      <c r="AB13" s="326" t="str">
        <f t="shared" ca="1" si="6"/>
        <v/>
      </c>
      <c r="AC13" s="380" t="str">
        <f t="shared" ca="1" si="7"/>
        <v/>
      </c>
      <c r="AD13" s="345" t="str">
        <f t="shared" si="8"/>
        <v/>
      </c>
      <c r="AE13" s="345" t="str">
        <f t="shared" si="16"/>
        <v/>
      </c>
      <c r="AF13" s="326" t="str">
        <f t="shared" si="9"/>
        <v/>
      </c>
      <c r="AG13" s="326" t="str">
        <f t="shared" si="10"/>
        <v/>
      </c>
      <c r="AH13" s="326" t="str">
        <f t="shared" si="11"/>
        <v/>
      </c>
      <c r="AI13" s="326">
        <f t="shared" ca="1" si="12"/>
        <v>0</v>
      </c>
    </row>
    <row r="14" spans="2:35" x14ac:dyDescent="0.25">
      <c r="B14" s="12" t="str">
        <f>IF('3. Calculator'!B12=0, "", '3. Calculator'!B12)</f>
        <v/>
      </c>
      <c r="C14" s="330" t="str">
        <f>IF('3. Calculator'!D12=0, "", '3. Calculator'!D12)</f>
        <v/>
      </c>
      <c r="D14" s="326" t="str">
        <f>IF('3. Calculator'!E12=0, "", '3. Calculator'!E12)</f>
        <v/>
      </c>
      <c r="E14" s="326">
        <f>IF('3. Calculator'!L12="", 1, IF('3. Calculator'!L12="Not applicable", 1, IF('3. Calculator'!L12="Lower", 1, VLOOKUP('3. Calculator'!E12, HVConversionValues,2,FALSE))))</f>
        <v>1</v>
      </c>
      <c r="F14" s="326" t="str">
        <f>IF('3. Calculator'!H12=0, "", '3. Calculator'!H12)</f>
        <v/>
      </c>
      <c r="G14" s="326" t="str">
        <f>IF('3. Calculator'!I12=0, "", '3. Calculator'!I12)</f>
        <v/>
      </c>
      <c r="H14" s="331" t="str">
        <f>IF('3. Calculator'!C12=0, "", '3. Calculator'!C12)</f>
        <v/>
      </c>
      <c r="I14" s="345" t="str">
        <f t="shared" si="0"/>
        <v/>
      </c>
      <c r="J14" s="326" t="str">
        <f ca="1">IF(ghostSpreadsheet_N2O!H14="","",VLOOKUP(D14, INDIRECT(I14), 2, FALSE))</f>
        <v/>
      </c>
      <c r="K14" s="415" t="str">
        <f>IF(ISNA(VLOOKUP('3. Calculator'!E12, fuelInfo, 4, FALSE)),"", (E14*VLOOKUP('3. Calculator'!E12, fuelInfo, 4, FALSE)))</f>
        <v/>
      </c>
      <c r="L14" s="382" t="str">
        <f>IF(ISNA(VLOOKUP('3. Calculator'!I12,unitStates,3,FALSE)), "", (VLOOKUP('3. Calculator'!I12,unitStates,3,FALSE)))</f>
        <v/>
      </c>
      <c r="M14" s="379" t="str">
        <f>IF(C14="My fuels", "", IF(L14=0, VLOOKUP('3. Calculator'!I12, energyEFs,3,FALSE),""))</f>
        <v/>
      </c>
      <c r="N14" s="428"/>
      <c r="O14" s="380" t="str">
        <f t="shared" si="1"/>
        <v/>
      </c>
      <c r="P14" s="379" t="str">
        <f>IF(C14="My fuels", "", IF(L14=1, VLOOKUP('3. Calculator'!I12, solidEFs,3,FALSE),""))</f>
        <v/>
      </c>
      <c r="Q14" s="380" t="str">
        <f t="shared" si="13"/>
        <v/>
      </c>
      <c r="R14" s="379" t="str">
        <f>IF(L14=2,IF(ISNA(VLOOKUP('3. Calculator'!C12,industryEFTableKeysN2O, 2,FALSE)), "", VLOOKUP('3. Calculator'!C12,industryEFTableKeysN2O, 2,FALSE)),"")</f>
        <v/>
      </c>
      <c r="S14" s="326" t="str">
        <f ca="1">IF(C14="My fuels", "", IF(L14=2, VLOOKUP(D14, INDIRECT(R14),6,FALSE),""))</f>
        <v/>
      </c>
      <c r="T14" s="326" t="str">
        <f xml:space="preserve"> IF(ISNA(VLOOKUP('3. Calculator'!I12,unitStates,4, FALSE)), "", (VLOOKUP('3. Calculator'!I12,unitStates,4, FALSE)))</f>
        <v/>
      </c>
      <c r="U14" s="326" t="str">
        <f>IF(L14=2, F14*S14,"")</f>
        <v/>
      </c>
      <c r="V14" s="326" t="str">
        <f t="shared" ca="1" si="3"/>
        <v/>
      </c>
      <c r="W14" s="326" t="str">
        <f t="shared" ca="1" si="4"/>
        <v/>
      </c>
      <c r="X14" s="380" t="str">
        <f t="shared" ca="1" si="5"/>
        <v/>
      </c>
      <c r="Y14" s="379" t="str">
        <f>IF(L14=3, IF(ISNA(VLOOKUP('3. Calculator'!C12,industryEFTableKeysN2O, 3,FALSE)), "", VLOOKUP('3. Calculator'!C12,industryEFTableKeysN2O, 3,FALSE)), "")</f>
        <v/>
      </c>
      <c r="Z14" s="326" t="str">
        <f t="shared" ca="1" si="15"/>
        <v/>
      </c>
      <c r="AA14" s="326" t="str">
        <f ca="1">+IF(Z14="", "", IF(ISNA(VLOOKUP('3. Calculator'!I12,unitStates,5, FALSE)), "", (VLOOKUP('3. Calculator'!I12,unitStates,5, FALSE))))</f>
        <v/>
      </c>
      <c r="AB14" s="326" t="str">
        <f t="shared" ca="1" si="6"/>
        <v/>
      </c>
      <c r="AC14" s="380" t="str">
        <f t="shared" ca="1" si="7"/>
        <v/>
      </c>
      <c r="AD14" s="345" t="str">
        <f t="shared" si="8"/>
        <v/>
      </c>
      <c r="AE14" s="345" t="str">
        <f t="shared" si="16"/>
        <v/>
      </c>
      <c r="AF14" s="326" t="str">
        <f t="shared" si="9"/>
        <v/>
      </c>
      <c r="AG14" s="326" t="str">
        <f t="shared" si="10"/>
        <v/>
      </c>
      <c r="AH14" s="326" t="str">
        <f t="shared" si="11"/>
        <v/>
      </c>
      <c r="AI14" s="326">
        <f t="shared" ca="1" si="12"/>
        <v>0</v>
      </c>
    </row>
    <row r="15" spans="2:35" x14ac:dyDescent="0.25">
      <c r="B15" s="12" t="str">
        <f>IF('3. Calculator'!B13=0, "", '3. Calculator'!B13)</f>
        <v/>
      </c>
      <c r="C15" s="330" t="str">
        <f>IF('3. Calculator'!D13=0, "", '3. Calculator'!D13)</f>
        <v/>
      </c>
      <c r="D15" s="326" t="str">
        <f>IF('3. Calculator'!E13=0, "", '3. Calculator'!E13)</f>
        <v/>
      </c>
      <c r="E15" s="326">
        <f>IF('3. Calculator'!L13="", 1, IF('3. Calculator'!L13="Not applicable", 1, IF('3. Calculator'!L13="Lower", 1, VLOOKUP('3. Calculator'!E13, HVConversionValues,2,FALSE))))</f>
        <v>1</v>
      </c>
      <c r="F15" s="326" t="str">
        <f>IF('3. Calculator'!H13=0, "", '3. Calculator'!H13)</f>
        <v/>
      </c>
      <c r="G15" s="326" t="str">
        <f>IF('3. Calculator'!I13=0, "", '3. Calculator'!I13)</f>
        <v/>
      </c>
      <c r="H15" s="331" t="str">
        <f>IF('3. Calculator'!C13=0, "", '3. Calculator'!C13)</f>
        <v/>
      </c>
      <c r="I15" s="345" t="str">
        <f t="shared" si="0"/>
        <v/>
      </c>
      <c r="J15" s="326" t="str">
        <f ca="1">IF(ghostSpreadsheet_N2O!H15="","",VLOOKUP(D15, INDIRECT(I15), 2, FALSE))</f>
        <v/>
      </c>
      <c r="K15" s="415" t="str">
        <f>IF(ISNA(VLOOKUP('3. Calculator'!E13, fuelInfo, 4, FALSE)),"", (E15*VLOOKUP('3. Calculator'!E13, fuelInfo, 4, FALSE)))</f>
        <v/>
      </c>
      <c r="L15" s="382" t="str">
        <f>IF(ISNA(VLOOKUP('3. Calculator'!I13,unitStates,3,FALSE)), "", (VLOOKUP('3. Calculator'!I13,unitStates,3,FALSE)))</f>
        <v/>
      </c>
      <c r="M15" s="379" t="str">
        <f>IF(C15="My fuels", "", IF(L15=0, VLOOKUP('3. Calculator'!I13, energyEFs,3,FALSE),""))</f>
        <v/>
      </c>
      <c r="N15" s="428"/>
      <c r="O15" s="380" t="str">
        <f t="shared" si="1"/>
        <v/>
      </c>
      <c r="P15" s="379" t="str">
        <f>IF(C15="My fuels", "", IF(L15=1, VLOOKUP('3. Calculator'!I13, solidEFs,3,FALSE),""))</f>
        <v/>
      </c>
      <c r="Q15" s="380" t="str">
        <f t="shared" si="13"/>
        <v/>
      </c>
      <c r="R15" s="379" t="str">
        <f>IF(L15=2,IF(ISNA(VLOOKUP('3. Calculator'!C13,industryEFTableKeysN2O, 2,FALSE)), "", VLOOKUP('3. Calculator'!C13,industryEFTableKeysN2O, 2,FALSE)),"")</f>
        <v/>
      </c>
      <c r="S15" s="326" t="str">
        <f t="shared" ca="1" si="14"/>
        <v/>
      </c>
      <c r="T15" s="326" t="str">
        <f xml:space="preserve"> IF(ISNA(VLOOKUP('3. Calculator'!I13,unitStates,4, FALSE)), "", (VLOOKUP('3. Calculator'!I13,unitStates,4, FALSE)))</f>
        <v/>
      </c>
      <c r="U15" s="326" t="str">
        <f t="shared" si="2"/>
        <v/>
      </c>
      <c r="V15" s="326" t="str">
        <f t="shared" ca="1" si="3"/>
        <v/>
      </c>
      <c r="W15" s="326" t="str">
        <f t="shared" ca="1" si="4"/>
        <v/>
      </c>
      <c r="X15" s="380" t="str">
        <f t="shared" ca="1" si="5"/>
        <v/>
      </c>
      <c r="Y15" s="379" t="str">
        <f>IF(L15=3, IF(ISNA(VLOOKUP('3. Calculator'!C13,industryEFTableKeysN2O, 3,FALSE)), "", VLOOKUP('3. Calculator'!C13,industryEFTableKeysN2O, 3,FALSE)), "")</f>
        <v/>
      </c>
      <c r="Z15" s="326" t="str">
        <f t="shared" ca="1" si="15"/>
        <v/>
      </c>
      <c r="AA15" s="326" t="str">
        <f ca="1">+IF(Z15="", "", IF(ISNA(VLOOKUP('3. Calculator'!I13,unitStates,5, FALSE)), "", (VLOOKUP('3. Calculator'!I13,unitStates,5, FALSE))))</f>
        <v/>
      </c>
      <c r="AB15" s="326" t="str">
        <f t="shared" ca="1" si="6"/>
        <v/>
      </c>
      <c r="AC15" s="380" t="str">
        <f t="shared" ca="1" si="7"/>
        <v/>
      </c>
      <c r="AD15" s="345" t="str">
        <f t="shared" si="8"/>
        <v/>
      </c>
      <c r="AE15" s="345" t="str">
        <f t="shared" si="16"/>
        <v/>
      </c>
      <c r="AF15" s="326" t="str">
        <f t="shared" si="9"/>
        <v/>
      </c>
      <c r="AG15" s="326" t="str">
        <f t="shared" si="10"/>
        <v/>
      </c>
      <c r="AH15" s="326" t="str">
        <f t="shared" si="11"/>
        <v/>
      </c>
      <c r="AI15" s="326">
        <f t="shared" ca="1" si="12"/>
        <v>0</v>
      </c>
    </row>
    <row r="16" spans="2:35" x14ac:dyDescent="0.25">
      <c r="B16" s="12" t="str">
        <f>IF('3. Calculator'!B14=0, "", '3. Calculator'!B14)</f>
        <v/>
      </c>
      <c r="C16" s="330" t="str">
        <f>IF('3. Calculator'!D14=0, "", '3. Calculator'!D14)</f>
        <v/>
      </c>
      <c r="D16" s="326" t="str">
        <f>IF('3. Calculator'!E14=0, "", '3. Calculator'!E14)</f>
        <v/>
      </c>
      <c r="E16" s="326">
        <f>IF('3. Calculator'!L14="", 1, IF('3. Calculator'!L14="Not applicable", 1, IF('3. Calculator'!L14="Lower", 1, VLOOKUP('3. Calculator'!E14, HVConversionValues,2,FALSE))))</f>
        <v>1</v>
      </c>
      <c r="F16" s="326" t="str">
        <f>IF('3. Calculator'!H14=0, "", '3. Calculator'!H14)</f>
        <v/>
      </c>
      <c r="G16" s="326" t="str">
        <f>IF('3. Calculator'!I14=0, "", '3. Calculator'!I14)</f>
        <v/>
      </c>
      <c r="H16" s="331" t="str">
        <f>IF('3. Calculator'!C14=0, "", '3. Calculator'!C14)</f>
        <v/>
      </c>
      <c r="I16" s="345" t="str">
        <f t="shared" si="0"/>
        <v/>
      </c>
      <c r="J16" s="326" t="str">
        <f ca="1">IF(ghostSpreadsheet_N2O!H16="","",VLOOKUP(D16, INDIRECT(I16), 2, FALSE))</f>
        <v/>
      </c>
      <c r="K16" s="415" t="str">
        <f>IF(ISNA(VLOOKUP('3. Calculator'!E14, fuelInfo, 4, FALSE)),"", (E16*VLOOKUP('3. Calculator'!E14, fuelInfo, 4, FALSE)))</f>
        <v/>
      </c>
      <c r="L16" s="382" t="str">
        <f>IF(ISNA(VLOOKUP('3. Calculator'!I14,unitStates,3,FALSE)), "", (VLOOKUP('3. Calculator'!I14,unitStates,3,FALSE)))</f>
        <v/>
      </c>
      <c r="M16" s="379" t="str">
        <f>IF(C16="My fuels", "", IF(L16=0, VLOOKUP('3. Calculator'!I14, energyEFs,3,FALSE),""))</f>
        <v/>
      </c>
      <c r="N16" s="428"/>
      <c r="O16" s="380" t="str">
        <f t="shared" si="1"/>
        <v/>
      </c>
      <c r="P16" s="379" t="str">
        <f>IF(C16="My fuels", "", IF(L16=1, VLOOKUP('3. Calculator'!I14, solidEFs,3,FALSE),""))</f>
        <v/>
      </c>
      <c r="Q16" s="380" t="str">
        <f t="shared" si="13"/>
        <v/>
      </c>
      <c r="R16" s="379" t="str">
        <f>IF(L16=2,IF(ISNA(VLOOKUP('3. Calculator'!C14,industryEFTableKeysN2O, 2,FALSE)), "", VLOOKUP('3. Calculator'!C14,industryEFTableKeysN2O, 2,FALSE)),"")</f>
        <v/>
      </c>
      <c r="S16" s="326" t="str">
        <f t="shared" ca="1" si="14"/>
        <v/>
      </c>
      <c r="T16" s="326" t="str">
        <f xml:space="preserve"> IF(ISNA(VLOOKUP('3. Calculator'!I14,unitStates,4, FALSE)), "", (VLOOKUP('3. Calculator'!I14,unitStates,4, FALSE)))</f>
        <v/>
      </c>
      <c r="U16" s="326" t="str">
        <f t="shared" si="2"/>
        <v/>
      </c>
      <c r="V16" s="326" t="str">
        <f t="shared" ca="1" si="3"/>
        <v/>
      </c>
      <c r="W16" s="326" t="str">
        <f t="shared" ca="1" si="4"/>
        <v/>
      </c>
      <c r="X16" s="380" t="str">
        <f t="shared" ca="1" si="5"/>
        <v/>
      </c>
      <c r="Y16" s="379" t="str">
        <f>IF(L16=3, IF(ISNA(VLOOKUP('3. Calculator'!C14,industryEFTableKeysN2O, 3,FALSE)), "", VLOOKUP('3. Calculator'!C14,industryEFTableKeysN2O, 3,FALSE)), "")</f>
        <v/>
      </c>
      <c r="Z16" s="326" t="str">
        <f t="shared" ca="1" si="15"/>
        <v/>
      </c>
      <c r="AA16" s="326" t="str">
        <f ca="1">+IF(Z16="", "", IF(ISNA(VLOOKUP('3. Calculator'!I14,unitStates,5, FALSE)), "", (VLOOKUP('3. Calculator'!I14,unitStates,5, FALSE))))</f>
        <v/>
      </c>
      <c r="AB16" s="326" t="str">
        <f t="shared" ca="1" si="6"/>
        <v/>
      </c>
      <c r="AC16" s="380" t="str">
        <f t="shared" ca="1" si="7"/>
        <v/>
      </c>
      <c r="AD16" s="345" t="str">
        <f t="shared" si="8"/>
        <v/>
      </c>
      <c r="AE16" s="345" t="str">
        <f t="shared" si="16"/>
        <v/>
      </c>
      <c r="AF16" s="326" t="str">
        <f t="shared" si="9"/>
        <v/>
      </c>
      <c r="AG16" s="326" t="str">
        <f t="shared" si="10"/>
        <v/>
      </c>
      <c r="AH16" s="326" t="str">
        <f t="shared" si="11"/>
        <v/>
      </c>
      <c r="AI16" s="326">
        <f t="shared" ca="1" si="12"/>
        <v>0</v>
      </c>
    </row>
    <row r="17" spans="2:35" x14ac:dyDescent="0.25">
      <c r="B17" s="12" t="str">
        <f>IF('3. Calculator'!B15=0, "", '3. Calculator'!B15)</f>
        <v/>
      </c>
      <c r="C17" s="330" t="str">
        <f>IF('3. Calculator'!D15=0, "", '3. Calculator'!D15)</f>
        <v/>
      </c>
      <c r="D17" s="326" t="str">
        <f>IF('3. Calculator'!E15=0, "", '3. Calculator'!E15)</f>
        <v/>
      </c>
      <c r="E17" s="326">
        <f>IF('3. Calculator'!L15="", 1, IF('3. Calculator'!L15="Not applicable", 1, IF('3. Calculator'!L15="Lower", 1, VLOOKUP('3. Calculator'!E15, HVConversionValues,2,FALSE))))</f>
        <v>1</v>
      </c>
      <c r="F17" s="326" t="str">
        <f>IF('3. Calculator'!H15=0, "", '3. Calculator'!H15)</f>
        <v/>
      </c>
      <c r="G17" s="326" t="str">
        <f>IF('3. Calculator'!I15=0, "", '3. Calculator'!I15)</f>
        <v/>
      </c>
      <c r="H17" s="331" t="str">
        <f>IF('3. Calculator'!C15=0, "", '3. Calculator'!C15)</f>
        <v/>
      </c>
      <c r="I17" s="345" t="str">
        <f t="shared" si="0"/>
        <v/>
      </c>
      <c r="J17" s="326" t="str">
        <f ca="1">IF(ghostSpreadsheet_N2O!H17="","",VLOOKUP(D17, INDIRECT(I17), 2, FALSE))</f>
        <v/>
      </c>
      <c r="K17" s="415" t="str">
        <f>IF(ISNA(VLOOKUP('3. Calculator'!E15, fuelInfo, 4, FALSE)),"", (E17*VLOOKUP('3. Calculator'!E15, fuelInfo, 4, FALSE)))</f>
        <v/>
      </c>
      <c r="L17" s="382" t="str">
        <f>IF(ISNA(VLOOKUP('3. Calculator'!I15,unitStates,3,FALSE)), "", (VLOOKUP('3. Calculator'!I15,unitStates,3,FALSE)))</f>
        <v/>
      </c>
      <c r="M17" s="379" t="str">
        <f>IF(C17="My fuels", "", IF(L17=0, VLOOKUP('3. Calculator'!I15, energyEFs,3,FALSE),""))</f>
        <v/>
      </c>
      <c r="N17" s="428"/>
      <c r="O17" s="380" t="str">
        <f t="shared" si="1"/>
        <v/>
      </c>
      <c r="P17" s="379" t="str">
        <f>IF(C17="My fuels", "", IF(L17=1, VLOOKUP('3. Calculator'!I15, solidEFs,3,FALSE),""))</f>
        <v/>
      </c>
      <c r="Q17" s="380" t="str">
        <f t="shared" si="13"/>
        <v/>
      </c>
      <c r="R17" s="379" t="str">
        <f>IF(L17=2,IF(ISNA(VLOOKUP('3. Calculator'!C15,industryEFTableKeysN2O, 2,FALSE)), "", VLOOKUP('3. Calculator'!C15,industryEFTableKeysN2O, 2,FALSE)),"")</f>
        <v/>
      </c>
      <c r="S17" s="326" t="str">
        <f t="shared" ca="1" si="14"/>
        <v/>
      </c>
      <c r="T17" s="326" t="str">
        <f xml:space="preserve"> IF(ISNA(VLOOKUP('3. Calculator'!I15,unitStates,4, FALSE)), "", (VLOOKUP('3. Calculator'!I15,unitStates,4, FALSE)))</f>
        <v/>
      </c>
      <c r="U17" s="326" t="str">
        <f t="shared" si="2"/>
        <v/>
      </c>
      <c r="V17" s="326" t="str">
        <f t="shared" ca="1" si="3"/>
        <v/>
      </c>
      <c r="W17" s="326" t="str">
        <f t="shared" ca="1" si="4"/>
        <v/>
      </c>
      <c r="X17" s="380" t="str">
        <f t="shared" ca="1" si="5"/>
        <v/>
      </c>
      <c r="Y17" s="379" t="str">
        <f>IF(L17=3, IF(ISNA(VLOOKUP('3. Calculator'!C15,industryEFTableKeysN2O, 3,FALSE)), "", VLOOKUP('3. Calculator'!C15,industryEFTableKeysN2O, 3,FALSE)), "")</f>
        <v/>
      </c>
      <c r="Z17" s="326" t="str">
        <f t="shared" ca="1" si="15"/>
        <v/>
      </c>
      <c r="AA17" s="326" t="str">
        <f ca="1">+IF(Z17="", "", IF(ISNA(VLOOKUP('3. Calculator'!I15,unitStates,5, FALSE)), "", (VLOOKUP('3. Calculator'!I15,unitStates,5, FALSE))))</f>
        <v/>
      </c>
      <c r="AB17" s="326" t="str">
        <f t="shared" ca="1" si="6"/>
        <v/>
      </c>
      <c r="AC17" s="380" t="str">
        <f t="shared" ca="1" si="7"/>
        <v/>
      </c>
      <c r="AD17" s="345" t="str">
        <f t="shared" si="8"/>
        <v/>
      </c>
      <c r="AE17" s="345" t="str">
        <f t="shared" si="16"/>
        <v/>
      </c>
      <c r="AF17" s="326" t="str">
        <f t="shared" si="9"/>
        <v/>
      </c>
      <c r="AG17" s="326" t="str">
        <f t="shared" si="10"/>
        <v/>
      </c>
      <c r="AH17" s="326" t="str">
        <f t="shared" si="11"/>
        <v/>
      </c>
      <c r="AI17" s="326">
        <f t="shared" ca="1" si="12"/>
        <v>0</v>
      </c>
    </row>
    <row r="18" spans="2:35" x14ac:dyDescent="0.25">
      <c r="B18" s="12" t="str">
        <f>IF('3. Calculator'!B16=0, "", '3. Calculator'!B16)</f>
        <v/>
      </c>
      <c r="C18" s="330" t="str">
        <f>IF('3. Calculator'!D16=0, "", '3. Calculator'!D16)</f>
        <v/>
      </c>
      <c r="D18" s="326" t="str">
        <f>IF('3. Calculator'!E16=0, "", '3. Calculator'!E16)</f>
        <v/>
      </c>
      <c r="E18" s="326">
        <f>IF('3. Calculator'!L16="", 1, IF('3. Calculator'!L16="Not applicable", 1, IF('3. Calculator'!L16="Lower", 1, VLOOKUP('3. Calculator'!E16, HVConversionValues,2,FALSE))))</f>
        <v>1</v>
      </c>
      <c r="F18" s="326" t="str">
        <f>IF('3. Calculator'!H16=0, "", '3. Calculator'!H16)</f>
        <v/>
      </c>
      <c r="G18" s="326" t="str">
        <f>IF('3. Calculator'!I16=0, "", '3. Calculator'!I16)</f>
        <v/>
      </c>
      <c r="H18" s="331" t="str">
        <f>IF('3. Calculator'!C16=0, "", '3. Calculator'!C16)</f>
        <v/>
      </c>
      <c r="I18" s="345" t="str">
        <f t="shared" si="0"/>
        <v/>
      </c>
      <c r="J18" s="326" t="str">
        <f ca="1">IF(ghostSpreadsheet_N2O!H18="","",VLOOKUP(D18, INDIRECT(I18), 2, FALSE))</f>
        <v/>
      </c>
      <c r="K18" s="415" t="str">
        <f>IF(ISNA(VLOOKUP('3. Calculator'!E16, fuelInfo, 4, FALSE)),"", (E18*VLOOKUP('3. Calculator'!E16, fuelInfo, 4, FALSE)))</f>
        <v/>
      </c>
      <c r="L18" s="382" t="str">
        <f>IF(ISNA(VLOOKUP('3. Calculator'!I16,unitStates,3,FALSE)), "", (VLOOKUP('3. Calculator'!I16,unitStates,3,FALSE)))</f>
        <v/>
      </c>
      <c r="M18" s="379" t="str">
        <f>IF(C18="My fuels", "", IF(L18=0, VLOOKUP('3. Calculator'!I16, energyEFs,3,FALSE),""))</f>
        <v/>
      </c>
      <c r="N18" s="428"/>
      <c r="O18" s="380" t="str">
        <f t="shared" si="1"/>
        <v/>
      </c>
      <c r="P18" s="379" t="str">
        <f>IF(C18="My fuels", "", IF(L18=1, VLOOKUP('3. Calculator'!I16, solidEFs,3,FALSE),""))</f>
        <v/>
      </c>
      <c r="Q18" s="380" t="str">
        <f t="shared" si="13"/>
        <v/>
      </c>
      <c r="R18" s="379" t="str">
        <f>IF(L18=2,IF(ISNA(VLOOKUP('3. Calculator'!C16,industryEFTableKeysN2O, 2,FALSE)), "", VLOOKUP('3. Calculator'!C16,industryEFTableKeysN2O, 2,FALSE)),"")</f>
        <v/>
      </c>
      <c r="S18" s="326" t="str">
        <f t="shared" ca="1" si="14"/>
        <v/>
      </c>
      <c r="T18" s="326" t="str">
        <f xml:space="preserve"> IF(ISNA(VLOOKUP('3. Calculator'!I16,unitStates,4, FALSE)), "", (VLOOKUP('3. Calculator'!I16,unitStates,4, FALSE)))</f>
        <v/>
      </c>
      <c r="U18" s="326" t="str">
        <f t="shared" si="2"/>
        <v/>
      </c>
      <c r="V18" s="326" t="str">
        <f t="shared" ca="1" si="3"/>
        <v/>
      </c>
      <c r="W18" s="326" t="str">
        <f t="shared" ca="1" si="4"/>
        <v/>
      </c>
      <c r="X18" s="380" t="str">
        <f t="shared" ca="1" si="5"/>
        <v/>
      </c>
      <c r="Y18" s="379" t="str">
        <f>IF(L18=3, IF(ISNA(VLOOKUP('3. Calculator'!C16,industryEFTableKeysN2O, 3,FALSE)), "", VLOOKUP('3. Calculator'!C16,industryEFTableKeysN2O, 3,FALSE)), "")</f>
        <v/>
      </c>
      <c r="Z18" s="326" t="str">
        <f t="shared" ca="1" si="15"/>
        <v/>
      </c>
      <c r="AA18" s="326" t="str">
        <f ca="1">+IF(Z18="", "", IF(ISNA(VLOOKUP('3. Calculator'!I16,unitStates,5, FALSE)), "", (VLOOKUP('3. Calculator'!I16,unitStates,5, FALSE))))</f>
        <v/>
      </c>
      <c r="AB18" s="326" t="str">
        <f t="shared" ca="1" si="6"/>
        <v/>
      </c>
      <c r="AC18" s="380" t="str">
        <f t="shared" ca="1" si="7"/>
        <v/>
      </c>
      <c r="AD18" s="345" t="str">
        <f t="shared" si="8"/>
        <v/>
      </c>
      <c r="AE18" s="345" t="str">
        <f t="shared" si="16"/>
        <v/>
      </c>
      <c r="AF18" s="326" t="str">
        <f t="shared" si="9"/>
        <v/>
      </c>
      <c r="AG18" s="326" t="str">
        <f t="shared" si="10"/>
        <v/>
      </c>
      <c r="AH18" s="326" t="str">
        <f t="shared" si="11"/>
        <v/>
      </c>
      <c r="AI18" s="326">
        <f t="shared" ca="1" si="12"/>
        <v>0</v>
      </c>
    </row>
    <row r="19" spans="2:35" x14ac:dyDescent="0.25">
      <c r="B19" s="12" t="str">
        <f>IF('3. Calculator'!B17=0, "", '3. Calculator'!B17)</f>
        <v/>
      </c>
      <c r="C19" s="330" t="str">
        <f>IF('3. Calculator'!D17=0, "", '3. Calculator'!D17)</f>
        <v/>
      </c>
      <c r="D19" s="326" t="str">
        <f>IF('3. Calculator'!E17=0, "", '3. Calculator'!E17)</f>
        <v/>
      </c>
      <c r="E19" s="326">
        <f>IF('3. Calculator'!L17="", 1, IF('3. Calculator'!L17="Not applicable", 1, IF('3. Calculator'!L17="Lower", 1, VLOOKUP('3. Calculator'!E17, HVConversionValues,2,FALSE))))</f>
        <v>1</v>
      </c>
      <c r="F19" s="326" t="str">
        <f>IF('3. Calculator'!H17=0, "", '3. Calculator'!H17)</f>
        <v/>
      </c>
      <c r="G19" s="326" t="str">
        <f>IF('3. Calculator'!I17=0, "", '3. Calculator'!I17)</f>
        <v/>
      </c>
      <c r="H19" s="331" t="str">
        <f>IF('3. Calculator'!C17=0, "", '3. Calculator'!C17)</f>
        <v/>
      </c>
      <c r="I19" s="345" t="str">
        <f t="shared" si="0"/>
        <v/>
      </c>
      <c r="J19" s="326" t="str">
        <f ca="1">IF(ghostSpreadsheet_N2O!H19="","",VLOOKUP(D19, INDIRECT(I19), 2, FALSE))</f>
        <v/>
      </c>
      <c r="K19" s="415" t="str">
        <f>IF(ISNA(VLOOKUP('3. Calculator'!E17, fuelInfo, 4, FALSE)),"", (E19*VLOOKUP('3. Calculator'!E17, fuelInfo, 4, FALSE)))</f>
        <v/>
      </c>
      <c r="L19" s="382" t="str">
        <f>IF(ISNA(VLOOKUP('3. Calculator'!I17,unitStates,3,FALSE)), "", (VLOOKUP('3. Calculator'!I17,unitStates,3,FALSE)))</f>
        <v/>
      </c>
      <c r="M19" s="379" t="str">
        <f>IF(C19="My fuels", "", IF(L19=0, VLOOKUP('3. Calculator'!I17, energyEFs,3,FALSE),""))</f>
        <v/>
      </c>
      <c r="N19" s="428"/>
      <c r="O19" s="380" t="str">
        <f t="shared" si="1"/>
        <v/>
      </c>
      <c r="P19" s="379" t="str">
        <f>IF(C19="My fuels", "", IF(L19=1, VLOOKUP('3. Calculator'!I17, solidEFs,3,FALSE),""))</f>
        <v/>
      </c>
      <c r="Q19" s="380" t="str">
        <f t="shared" si="13"/>
        <v/>
      </c>
      <c r="R19" s="379" t="str">
        <f>IF(L19=2,IF(ISNA(VLOOKUP('3. Calculator'!C17,industryEFTableKeysN2O, 2,FALSE)), "", VLOOKUP('3. Calculator'!C17,industryEFTableKeysN2O, 2,FALSE)),"")</f>
        <v/>
      </c>
      <c r="S19" s="326" t="str">
        <f t="shared" ca="1" si="14"/>
        <v/>
      </c>
      <c r="T19" s="326" t="str">
        <f xml:space="preserve"> IF(ISNA(VLOOKUP('3. Calculator'!I17,unitStates,4, FALSE)), "", (VLOOKUP('3. Calculator'!I17,unitStates,4, FALSE)))</f>
        <v/>
      </c>
      <c r="U19" s="326" t="str">
        <f t="shared" si="2"/>
        <v/>
      </c>
      <c r="V19" s="326" t="str">
        <f t="shared" ca="1" si="3"/>
        <v/>
      </c>
      <c r="W19" s="326" t="str">
        <f t="shared" ca="1" si="4"/>
        <v/>
      </c>
      <c r="X19" s="380" t="str">
        <f t="shared" ca="1" si="5"/>
        <v/>
      </c>
      <c r="Y19" s="379" t="str">
        <f>IF(L19=3, IF(ISNA(VLOOKUP('3. Calculator'!C17,industryEFTableKeysN2O, 3,FALSE)), "", VLOOKUP('3. Calculator'!C17,industryEFTableKeysN2O, 3,FALSE)), "")</f>
        <v/>
      </c>
      <c r="Z19" s="326" t="str">
        <f t="shared" ca="1" si="15"/>
        <v/>
      </c>
      <c r="AA19" s="326" t="str">
        <f ca="1">+IF(Z19="", "", IF(ISNA(VLOOKUP('3. Calculator'!I17,unitStates,5, FALSE)), "", (VLOOKUP('3. Calculator'!I17,unitStates,5, FALSE))))</f>
        <v/>
      </c>
      <c r="AB19" s="326" t="str">
        <f t="shared" ca="1" si="6"/>
        <v/>
      </c>
      <c r="AC19" s="380" t="str">
        <f t="shared" ca="1" si="7"/>
        <v/>
      </c>
      <c r="AD19" s="345" t="str">
        <f t="shared" si="8"/>
        <v/>
      </c>
      <c r="AE19" s="345" t="str">
        <f t="shared" si="16"/>
        <v/>
      </c>
      <c r="AF19" s="326" t="str">
        <f t="shared" si="9"/>
        <v/>
      </c>
      <c r="AG19" s="326" t="str">
        <f t="shared" si="10"/>
        <v/>
      </c>
      <c r="AH19" s="326" t="str">
        <f t="shared" si="11"/>
        <v/>
      </c>
      <c r="AI19" s="326">
        <f t="shared" ca="1" si="12"/>
        <v>0</v>
      </c>
    </row>
    <row r="20" spans="2:35" x14ac:dyDescent="0.25">
      <c r="B20" s="12" t="str">
        <f>IF('3. Calculator'!B18=0, "", '3. Calculator'!B18)</f>
        <v/>
      </c>
      <c r="C20" s="330" t="str">
        <f>IF('3. Calculator'!D18=0, "", '3. Calculator'!D18)</f>
        <v/>
      </c>
      <c r="D20" s="326" t="str">
        <f>IF('3. Calculator'!E18=0, "", '3. Calculator'!E18)</f>
        <v/>
      </c>
      <c r="E20" s="326">
        <f>IF('3. Calculator'!L18="", 1, IF('3. Calculator'!L18="Not applicable", 1, IF('3. Calculator'!L18="Lower", 1, VLOOKUP('3. Calculator'!E18, HVConversionValues,2,FALSE))))</f>
        <v>1</v>
      </c>
      <c r="F20" s="326" t="str">
        <f>IF('3. Calculator'!H18=0, "", '3. Calculator'!H18)</f>
        <v/>
      </c>
      <c r="G20" s="326" t="str">
        <f>IF('3. Calculator'!I18=0, "", '3. Calculator'!I18)</f>
        <v/>
      </c>
      <c r="H20" s="331" t="str">
        <f>IF('3. Calculator'!C18=0, "", '3. Calculator'!C18)</f>
        <v/>
      </c>
      <c r="I20" s="345" t="str">
        <f t="shared" si="0"/>
        <v/>
      </c>
      <c r="J20" s="326" t="str">
        <f ca="1">IF(ghostSpreadsheet_N2O!H20="","",VLOOKUP(D20, INDIRECT(I20), 2, FALSE))</f>
        <v/>
      </c>
      <c r="K20" s="415" t="str">
        <f>IF(ISNA(VLOOKUP('3. Calculator'!E18, fuelInfo, 4, FALSE)),"", (E20*VLOOKUP('3. Calculator'!E18, fuelInfo, 4, FALSE)))</f>
        <v/>
      </c>
      <c r="L20" s="382" t="str">
        <f>IF(ISNA(VLOOKUP('3. Calculator'!I18,unitStates,3,FALSE)), "", (VLOOKUP('3. Calculator'!I18,unitStates,3,FALSE)))</f>
        <v/>
      </c>
      <c r="M20" s="379" t="str">
        <f>IF(C20="My fuels", "", IF(L20=0, VLOOKUP('3. Calculator'!I18, energyEFs,3,FALSE),""))</f>
        <v/>
      </c>
      <c r="N20" s="428"/>
      <c r="O20" s="380" t="str">
        <f t="shared" si="1"/>
        <v/>
      </c>
      <c r="P20" s="379" t="str">
        <f>IF(C20="My fuels", "", IF(L20=1, VLOOKUP('3. Calculator'!I18, solidEFs,3,FALSE),""))</f>
        <v/>
      </c>
      <c r="Q20" s="380" t="str">
        <f t="shared" si="13"/>
        <v/>
      </c>
      <c r="R20" s="379" t="str">
        <f>IF(L20=2,IF(ISNA(VLOOKUP('3. Calculator'!C18,industryEFTableKeysN2O, 2,FALSE)), "", VLOOKUP('3. Calculator'!C18,industryEFTableKeysN2O, 2,FALSE)),"")</f>
        <v/>
      </c>
      <c r="S20" s="326" t="str">
        <f t="shared" ca="1" si="14"/>
        <v/>
      </c>
      <c r="T20" s="326" t="str">
        <f xml:space="preserve"> IF(ISNA(VLOOKUP('3. Calculator'!I18,unitStates,4, FALSE)), "", (VLOOKUP('3. Calculator'!I18,unitStates,4, FALSE)))</f>
        <v/>
      </c>
      <c r="U20" s="326" t="str">
        <f t="shared" si="2"/>
        <v/>
      </c>
      <c r="V20" s="326" t="str">
        <f t="shared" ca="1" si="3"/>
        <v/>
      </c>
      <c r="W20" s="326" t="str">
        <f t="shared" ca="1" si="4"/>
        <v/>
      </c>
      <c r="X20" s="380" t="str">
        <f t="shared" ca="1" si="5"/>
        <v/>
      </c>
      <c r="Y20" s="379" t="str">
        <f>IF(L20=3, IF(ISNA(VLOOKUP('3. Calculator'!C18,industryEFTableKeysN2O, 3,FALSE)), "", VLOOKUP('3. Calculator'!C18,industryEFTableKeysN2O, 3,FALSE)), "")</f>
        <v/>
      </c>
      <c r="Z20" s="326" t="str">
        <f t="shared" ca="1" si="15"/>
        <v/>
      </c>
      <c r="AA20" s="326" t="str">
        <f ca="1">+IF(Z20="", "", IF(ISNA(VLOOKUP('3. Calculator'!I18,unitStates,5, FALSE)), "", (VLOOKUP('3. Calculator'!I18,unitStates,5, FALSE))))</f>
        <v/>
      </c>
      <c r="AB20" s="326" t="str">
        <f t="shared" ca="1" si="6"/>
        <v/>
      </c>
      <c r="AC20" s="380" t="str">
        <f t="shared" ca="1" si="7"/>
        <v/>
      </c>
      <c r="AD20" s="345" t="str">
        <f t="shared" si="8"/>
        <v/>
      </c>
      <c r="AE20" s="345" t="str">
        <f t="shared" si="16"/>
        <v/>
      </c>
      <c r="AF20" s="326" t="str">
        <f t="shared" si="9"/>
        <v/>
      </c>
      <c r="AG20" s="326" t="str">
        <f t="shared" si="10"/>
        <v/>
      </c>
      <c r="AH20" s="326" t="str">
        <f t="shared" si="11"/>
        <v/>
      </c>
      <c r="AI20" s="326">
        <f t="shared" ca="1" si="12"/>
        <v>0</v>
      </c>
    </row>
    <row r="21" spans="2:35" x14ac:dyDescent="0.25">
      <c r="B21" s="12" t="str">
        <f>IF('3. Calculator'!B19=0, "", '3. Calculator'!B19)</f>
        <v/>
      </c>
      <c r="C21" s="330" t="str">
        <f>IF('3. Calculator'!D19=0, "", '3. Calculator'!D19)</f>
        <v/>
      </c>
      <c r="D21" s="326" t="str">
        <f>IF('3. Calculator'!E19=0, "", '3. Calculator'!E19)</f>
        <v/>
      </c>
      <c r="E21" s="326">
        <f>IF('3. Calculator'!L19="", 1, IF('3. Calculator'!L19="Not applicable", 1, IF('3. Calculator'!L19="Lower", 1, VLOOKUP('3. Calculator'!E19, HVConversionValues,2,FALSE))))</f>
        <v>1</v>
      </c>
      <c r="F21" s="326" t="str">
        <f>IF('3. Calculator'!H19=0, "", '3. Calculator'!H19)</f>
        <v/>
      </c>
      <c r="G21" s="326" t="str">
        <f>IF('3. Calculator'!I19=0, "", '3. Calculator'!I19)</f>
        <v/>
      </c>
      <c r="H21" s="331" t="str">
        <f>IF('3. Calculator'!C19=0, "", '3. Calculator'!C19)</f>
        <v/>
      </c>
      <c r="I21" s="345" t="str">
        <f t="shared" si="0"/>
        <v/>
      </c>
      <c r="J21" s="326" t="str">
        <f ca="1">IF(ghostSpreadsheet_N2O!H21="","",VLOOKUP(D21, INDIRECT(I21), 2, FALSE))</f>
        <v/>
      </c>
      <c r="K21" s="415" t="str">
        <f>IF(ISNA(VLOOKUP('3. Calculator'!E19, fuelInfo, 4, FALSE)),"", (E21*VLOOKUP('3. Calculator'!E19, fuelInfo, 4, FALSE)))</f>
        <v/>
      </c>
      <c r="L21" s="382" t="str">
        <f>IF(ISNA(VLOOKUP('3. Calculator'!I19,unitStates,3,FALSE)), "", (VLOOKUP('3. Calculator'!I19,unitStates,3,FALSE)))</f>
        <v/>
      </c>
      <c r="M21" s="379" t="str">
        <f>IF(C21="My fuels", "", IF(L21=0, VLOOKUP('3. Calculator'!I19, energyEFs,3,FALSE),""))</f>
        <v/>
      </c>
      <c r="N21" s="428"/>
      <c r="O21" s="380" t="str">
        <f t="shared" si="1"/>
        <v/>
      </c>
      <c r="P21" s="379" t="str">
        <f>IF(C21="My fuels", "", IF(L21=1, VLOOKUP('3. Calculator'!I19, solidEFs,3,FALSE),""))</f>
        <v/>
      </c>
      <c r="Q21" s="380" t="str">
        <f t="shared" si="13"/>
        <v/>
      </c>
      <c r="R21" s="379" t="str">
        <f>IF(L21=2,IF(ISNA(VLOOKUP('3. Calculator'!C19,industryEFTableKeysN2O, 2,FALSE)), "", VLOOKUP('3. Calculator'!C19,industryEFTableKeysN2O, 2,FALSE)),"")</f>
        <v/>
      </c>
      <c r="S21" s="326" t="str">
        <f t="shared" ca="1" si="14"/>
        <v/>
      </c>
      <c r="T21" s="326" t="str">
        <f xml:space="preserve"> IF(ISNA(VLOOKUP('3. Calculator'!I19,unitStates,4, FALSE)), "", (VLOOKUP('3. Calculator'!I19,unitStates,4, FALSE)))</f>
        <v/>
      </c>
      <c r="U21" s="326" t="str">
        <f t="shared" si="2"/>
        <v/>
      </c>
      <c r="V21" s="326" t="str">
        <f t="shared" ca="1" si="3"/>
        <v/>
      </c>
      <c r="W21" s="326" t="str">
        <f t="shared" ca="1" si="4"/>
        <v/>
      </c>
      <c r="X21" s="380" t="str">
        <f t="shared" ca="1" si="5"/>
        <v/>
      </c>
      <c r="Y21" s="379" t="str">
        <f>IF(L21=3, IF(ISNA(VLOOKUP('3. Calculator'!C19,industryEFTableKeysN2O, 3,FALSE)), "", VLOOKUP('3. Calculator'!C19,industryEFTableKeysN2O, 3,FALSE)), "")</f>
        <v/>
      </c>
      <c r="Z21" s="326" t="str">
        <f t="shared" ca="1" si="15"/>
        <v/>
      </c>
      <c r="AA21" s="326" t="str">
        <f ca="1">+IF(Z21="", "", IF(ISNA(VLOOKUP('3. Calculator'!I19,unitStates,5, FALSE)), "", (VLOOKUP('3. Calculator'!I19,unitStates,5, FALSE))))</f>
        <v/>
      </c>
      <c r="AB21" s="326" t="str">
        <f t="shared" ca="1" si="6"/>
        <v/>
      </c>
      <c r="AC21" s="380" t="str">
        <f t="shared" ca="1" si="7"/>
        <v/>
      </c>
      <c r="AD21" s="345" t="str">
        <f t="shared" si="8"/>
        <v/>
      </c>
      <c r="AE21" s="345" t="str">
        <f t="shared" si="16"/>
        <v/>
      </c>
      <c r="AF21" s="326" t="str">
        <f t="shared" si="9"/>
        <v/>
      </c>
      <c r="AG21" s="326" t="str">
        <f t="shared" si="10"/>
        <v/>
      </c>
      <c r="AH21" s="326" t="str">
        <f t="shared" si="11"/>
        <v/>
      </c>
      <c r="AI21" s="326">
        <f t="shared" ca="1" si="12"/>
        <v>0</v>
      </c>
    </row>
    <row r="22" spans="2:35" x14ac:dyDescent="0.25">
      <c r="B22" s="12" t="str">
        <f>IF('3. Calculator'!B20=0, "", '3. Calculator'!B20)</f>
        <v/>
      </c>
      <c r="C22" s="330" t="str">
        <f>IF('3. Calculator'!D20=0, "", '3. Calculator'!D20)</f>
        <v/>
      </c>
      <c r="D22" s="326" t="str">
        <f>IF('3. Calculator'!E20=0, "", '3. Calculator'!E20)</f>
        <v/>
      </c>
      <c r="E22" s="326">
        <f>IF('3. Calculator'!L20="", 1, IF('3. Calculator'!L20="Not applicable", 1, IF('3. Calculator'!L20="Lower", 1, VLOOKUP('3. Calculator'!E20, HVConversionValues,2,FALSE))))</f>
        <v>1</v>
      </c>
      <c r="F22" s="326" t="str">
        <f>IF('3. Calculator'!H20=0, "", '3. Calculator'!H20)</f>
        <v/>
      </c>
      <c r="G22" s="326" t="str">
        <f>IF('3. Calculator'!I20=0, "", '3. Calculator'!I20)</f>
        <v/>
      </c>
      <c r="H22" s="331" t="str">
        <f>IF('3. Calculator'!C20=0, "", '3. Calculator'!C20)</f>
        <v/>
      </c>
      <c r="I22" s="345" t="str">
        <f t="shared" si="0"/>
        <v/>
      </c>
      <c r="J22" s="326" t="str">
        <f ca="1">IF(ghostSpreadsheet_N2O!H22="","",VLOOKUP(D22, INDIRECT(I22), 2, FALSE))</f>
        <v/>
      </c>
      <c r="K22" s="415" t="str">
        <f>IF(ISNA(VLOOKUP('3. Calculator'!E20, fuelInfo, 4, FALSE)),"", (E22*VLOOKUP('3. Calculator'!E20, fuelInfo, 4, FALSE)))</f>
        <v/>
      </c>
      <c r="L22" s="382" t="str">
        <f>IF(ISNA(VLOOKUP('3. Calculator'!I20,unitStates,3,FALSE)), "", (VLOOKUP('3. Calculator'!I20,unitStates,3,FALSE)))</f>
        <v/>
      </c>
      <c r="M22" s="379" t="str">
        <f>IF(C22="My fuels", "", IF(L22=0, VLOOKUP('3. Calculator'!I20, energyEFs,3,FALSE),""))</f>
        <v/>
      </c>
      <c r="N22" s="428"/>
      <c r="O22" s="380" t="str">
        <f t="shared" si="1"/>
        <v/>
      </c>
      <c r="P22" s="379" t="str">
        <f>IF(C22="My fuels", "", IF(L22=1, VLOOKUP('3. Calculator'!I20, solidEFs,3,FALSE),""))</f>
        <v/>
      </c>
      <c r="Q22" s="380" t="str">
        <f t="shared" si="13"/>
        <v/>
      </c>
      <c r="R22" s="379" t="str">
        <f>IF(L22=2,IF(ISNA(VLOOKUP('3. Calculator'!C20,industryEFTableKeysN2O, 2,FALSE)), "", VLOOKUP('3. Calculator'!C20,industryEFTableKeysN2O, 2,FALSE)),"")</f>
        <v/>
      </c>
      <c r="S22" s="326" t="str">
        <f t="shared" ca="1" si="14"/>
        <v/>
      </c>
      <c r="T22" s="326" t="str">
        <f xml:space="preserve"> IF(ISNA(VLOOKUP('3. Calculator'!I20,unitStates,4, FALSE)), "", (VLOOKUP('3. Calculator'!I20,unitStates,4, FALSE)))</f>
        <v/>
      </c>
      <c r="U22" s="326" t="str">
        <f t="shared" si="2"/>
        <v/>
      </c>
      <c r="V22" s="326" t="str">
        <f t="shared" ca="1" si="3"/>
        <v/>
      </c>
      <c r="W22" s="326" t="str">
        <f t="shared" ca="1" si="4"/>
        <v/>
      </c>
      <c r="X22" s="380" t="str">
        <f t="shared" ca="1" si="5"/>
        <v/>
      </c>
      <c r="Y22" s="379" t="str">
        <f>IF(L22=3, IF(ISNA(VLOOKUP('3. Calculator'!C20,industryEFTableKeysN2O, 3,FALSE)), "", VLOOKUP('3. Calculator'!C20,industryEFTableKeysN2O, 3,FALSE)), "")</f>
        <v/>
      </c>
      <c r="Z22" s="326" t="str">
        <f t="shared" ca="1" si="15"/>
        <v/>
      </c>
      <c r="AA22" s="326" t="str">
        <f ca="1">+IF(Z22="", "", IF(ISNA(VLOOKUP('3. Calculator'!I20,unitStates,5, FALSE)), "", (VLOOKUP('3. Calculator'!I20,unitStates,5, FALSE))))</f>
        <v/>
      </c>
      <c r="AB22" s="326" t="str">
        <f t="shared" ca="1" si="6"/>
        <v/>
      </c>
      <c r="AC22" s="380" t="str">
        <f t="shared" ca="1" si="7"/>
        <v/>
      </c>
      <c r="AD22" s="345" t="str">
        <f t="shared" si="8"/>
        <v/>
      </c>
      <c r="AE22" s="345" t="str">
        <f t="shared" si="16"/>
        <v/>
      </c>
      <c r="AF22" s="326" t="str">
        <f t="shared" si="9"/>
        <v/>
      </c>
      <c r="AG22" s="326" t="str">
        <f t="shared" si="10"/>
        <v/>
      </c>
      <c r="AH22" s="326" t="str">
        <f t="shared" si="11"/>
        <v/>
      </c>
      <c r="AI22" s="326">
        <f t="shared" ca="1" si="12"/>
        <v>0</v>
      </c>
    </row>
    <row r="23" spans="2:35" x14ac:dyDescent="0.25">
      <c r="B23" s="12" t="str">
        <f>IF('3. Calculator'!B21=0, "", '3. Calculator'!B21)</f>
        <v/>
      </c>
      <c r="C23" s="330" t="str">
        <f>IF('3. Calculator'!D21=0, "", '3. Calculator'!D21)</f>
        <v/>
      </c>
      <c r="D23" s="326" t="str">
        <f>IF('3. Calculator'!E21=0, "", '3. Calculator'!E21)</f>
        <v/>
      </c>
      <c r="E23" s="326">
        <f>IF('3. Calculator'!L21="", 1, IF('3. Calculator'!L21="Not applicable", 1, IF('3. Calculator'!L21="Lower", 1, VLOOKUP('3. Calculator'!E21, HVConversionValues,2,FALSE))))</f>
        <v>1</v>
      </c>
      <c r="F23" s="326" t="str">
        <f>IF('3. Calculator'!H21=0, "", '3. Calculator'!H21)</f>
        <v/>
      </c>
      <c r="G23" s="326" t="str">
        <f>IF('3. Calculator'!I21=0, "", '3. Calculator'!I21)</f>
        <v/>
      </c>
      <c r="H23" s="331" t="str">
        <f>IF('3. Calculator'!C21=0, "", '3. Calculator'!C21)</f>
        <v/>
      </c>
      <c r="I23" s="345" t="str">
        <f t="shared" si="0"/>
        <v/>
      </c>
      <c r="J23" s="326" t="str">
        <f ca="1">IF(ghostSpreadsheet_N2O!H23="","",VLOOKUP(D23, INDIRECT(I23), 2, FALSE))</f>
        <v/>
      </c>
      <c r="K23" s="415" t="str">
        <f>IF(ISNA(VLOOKUP('3. Calculator'!E21, fuelInfo, 4, FALSE)),"", (E23*VLOOKUP('3. Calculator'!E21, fuelInfo, 4, FALSE)))</f>
        <v/>
      </c>
      <c r="L23" s="382" t="str">
        <f>IF(ISNA(VLOOKUP('3. Calculator'!I21,unitStates,3,FALSE)), "", (VLOOKUP('3. Calculator'!I21,unitStates,3,FALSE)))</f>
        <v/>
      </c>
      <c r="M23" s="379" t="str">
        <f>IF(C23="My fuels", "", IF(L23=0, VLOOKUP('3. Calculator'!I21, energyEFs,3,FALSE),""))</f>
        <v/>
      </c>
      <c r="N23" s="428"/>
      <c r="O23" s="380" t="str">
        <f t="shared" si="1"/>
        <v/>
      </c>
      <c r="P23" s="379" t="str">
        <f>IF(C23="My fuels", "", IF(L23=1, VLOOKUP('3. Calculator'!I21, solidEFs,3,FALSE),""))</f>
        <v/>
      </c>
      <c r="Q23" s="380" t="str">
        <f t="shared" si="13"/>
        <v/>
      </c>
      <c r="R23" s="379" t="str">
        <f>IF(L23=2,IF(ISNA(VLOOKUP('3. Calculator'!C21,industryEFTableKeysN2O, 2,FALSE)), "", VLOOKUP('3. Calculator'!C21,industryEFTableKeysN2O, 2,FALSE)),"")</f>
        <v/>
      </c>
      <c r="S23" s="326" t="str">
        <f t="shared" ca="1" si="14"/>
        <v/>
      </c>
      <c r="T23" s="326" t="str">
        <f xml:space="preserve"> IF(ISNA(VLOOKUP('3. Calculator'!I21,unitStates,4, FALSE)), "", (VLOOKUP('3. Calculator'!I21,unitStates,4, FALSE)))</f>
        <v/>
      </c>
      <c r="U23" s="326" t="str">
        <f t="shared" si="2"/>
        <v/>
      </c>
      <c r="V23" s="326" t="str">
        <f t="shared" ca="1" si="3"/>
        <v/>
      </c>
      <c r="W23" s="326" t="str">
        <f t="shared" ca="1" si="4"/>
        <v/>
      </c>
      <c r="X23" s="380" t="str">
        <f t="shared" ca="1" si="5"/>
        <v/>
      </c>
      <c r="Y23" s="379" t="str">
        <f>IF(L23=3, IF(ISNA(VLOOKUP('3. Calculator'!C21,industryEFTableKeysN2O, 3,FALSE)), "", VLOOKUP('3. Calculator'!C21,industryEFTableKeysN2O, 3,FALSE)), "")</f>
        <v/>
      </c>
      <c r="Z23" s="326" t="str">
        <f t="shared" ca="1" si="15"/>
        <v/>
      </c>
      <c r="AA23" s="326" t="str">
        <f ca="1">+IF(Z23="", "", IF(ISNA(VLOOKUP('3. Calculator'!I21,unitStates,5, FALSE)), "", (VLOOKUP('3. Calculator'!I21,unitStates,5, FALSE))))</f>
        <v/>
      </c>
      <c r="AB23" s="326" t="str">
        <f t="shared" ca="1" si="6"/>
        <v/>
      </c>
      <c r="AC23" s="380" t="str">
        <f t="shared" ca="1" si="7"/>
        <v/>
      </c>
      <c r="AD23" s="345" t="str">
        <f t="shared" si="8"/>
        <v/>
      </c>
      <c r="AE23" s="345" t="str">
        <f t="shared" si="16"/>
        <v/>
      </c>
      <c r="AF23" s="326" t="str">
        <f t="shared" si="9"/>
        <v/>
      </c>
      <c r="AG23" s="326" t="str">
        <f t="shared" si="10"/>
        <v/>
      </c>
      <c r="AH23" s="326" t="str">
        <f t="shared" si="11"/>
        <v/>
      </c>
      <c r="AI23" s="326">
        <f t="shared" ca="1" si="12"/>
        <v>0</v>
      </c>
    </row>
    <row r="24" spans="2:35" x14ac:dyDescent="0.25">
      <c r="B24" s="12" t="str">
        <f>IF('3. Calculator'!B22=0, "", '3. Calculator'!B22)</f>
        <v/>
      </c>
      <c r="C24" s="330" t="str">
        <f>IF('3. Calculator'!D22=0, "", '3. Calculator'!D22)</f>
        <v/>
      </c>
      <c r="D24" s="326" t="str">
        <f>IF('3. Calculator'!E22=0, "", '3. Calculator'!E22)</f>
        <v/>
      </c>
      <c r="E24" s="326">
        <f>IF('3. Calculator'!L22="", 1, IF('3. Calculator'!L22="Not applicable", 1, IF('3. Calculator'!L22="Lower", 1, VLOOKUP('3. Calculator'!E22, HVConversionValues,2,FALSE))))</f>
        <v>1</v>
      </c>
      <c r="F24" s="326" t="str">
        <f>IF('3. Calculator'!H22=0, "", '3. Calculator'!H22)</f>
        <v/>
      </c>
      <c r="G24" s="326" t="str">
        <f>IF('3. Calculator'!I22=0, "", '3. Calculator'!I22)</f>
        <v/>
      </c>
      <c r="H24" s="331" t="str">
        <f>IF('3. Calculator'!C22=0, "", '3. Calculator'!C22)</f>
        <v/>
      </c>
      <c r="I24" s="345" t="str">
        <f t="shared" si="0"/>
        <v/>
      </c>
      <c r="J24" s="326" t="str">
        <f ca="1">IF(ghostSpreadsheet_N2O!H24="","",VLOOKUP(D24, INDIRECT(I24), 2, FALSE))</f>
        <v/>
      </c>
      <c r="K24" s="415" t="str">
        <f>IF(ISNA(VLOOKUP('3. Calculator'!E22, fuelInfo, 4, FALSE)),"", (E24*VLOOKUP('3. Calculator'!E22, fuelInfo, 4, FALSE)))</f>
        <v/>
      </c>
      <c r="L24" s="382" t="str">
        <f>IF(ISNA(VLOOKUP('3. Calculator'!I22,unitStates,3,FALSE)), "", (VLOOKUP('3. Calculator'!I22,unitStates,3,FALSE)))</f>
        <v/>
      </c>
      <c r="M24" s="379" t="str">
        <f>IF(C24="My fuels", "", IF(L24=0, VLOOKUP('3. Calculator'!I22, energyEFs,3,FALSE),""))</f>
        <v/>
      </c>
      <c r="N24" s="428"/>
      <c r="O24" s="380" t="str">
        <f t="shared" si="1"/>
        <v/>
      </c>
      <c r="P24" s="379" t="str">
        <f>IF(C24="My fuels", "", IF(L24=1, VLOOKUP('3. Calculator'!I22, solidEFs,3,FALSE),""))</f>
        <v/>
      </c>
      <c r="Q24" s="380" t="str">
        <f t="shared" si="13"/>
        <v/>
      </c>
      <c r="R24" s="379" t="str">
        <f>IF(L24=2,IF(ISNA(VLOOKUP('3. Calculator'!C22,industryEFTableKeysN2O, 2,FALSE)), "", VLOOKUP('3. Calculator'!C22,industryEFTableKeysN2O, 2,FALSE)),"")</f>
        <v/>
      </c>
      <c r="S24" s="326" t="str">
        <f t="shared" ca="1" si="14"/>
        <v/>
      </c>
      <c r="T24" s="326" t="str">
        <f xml:space="preserve"> IF(ISNA(VLOOKUP('3. Calculator'!I22,unitStates,4, FALSE)), "", (VLOOKUP('3. Calculator'!I22,unitStates,4, FALSE)))</f>
        <v/>
      </c>
      <c r="U24" s="326" t="str">
        <f t="shared" si="2"/>
        <v/>
      </c>
      <c r="V24" s="326" t="str">
        <f t="shared" ca="1" si="3"/>
        <v/>
      </c>
      <c r="W24" s="326" t="str">
        <f t="shared" ca="1" si="4"/>
        <v/>
      </c>
      <c r="X24" s="380" t="str">
        <f t="shared" ca="1" si="5"/>
        <v/>
      </c>
      <c r="Y24" s="379" t="str">
        <f>IF(L24=3, IF(ISNA(VLOOKUP('3. Calculator'!C22,industryEFTableKeysN2O, 3,FALSE)), "", VLOOKUP('3. Calculator'!C22,industryEFTableKeysN2O, 3,FALSE)), "")</f>
        <v/>
      </c>
      <c r="Z24" s="326" t="str">
        <f t="shared" ca="1" si="15"/>
        <v/>
      </c>
      <c r="AA24" s="326" t="str">
        <f ca="1">+IF(Z24="", "", IF(ISNA(VLOOKUP('3. Calculator'!I22,unitStates,5, FALSE)), "", (VLOOKUP('3. Calculator'!I22,unitStates,5, FALSE))))</f>
        <v/>
      </c>
      <c r="AB24" s="326" t="str">
        <f t="shared" ca="1" si="6"/>
        <v/>
      </c>
      <c r="AC24" s="380" t="str">
        <f t="shared" ca="1" si="7"/>
        <v/>
      </c>
      <c r="AD24" s="345" t="str">
        <f t="shared" si="8"/>
        <v/>
      </c>
      <c r="AE24" s="345" t="str">
        <f t="shared" si="16"/>
        <v/>
      </c>
      <c r="AF24" s="326" t="str">
        <f t="shared" si="9"/>
        <v/>
      </c>
      <c r="AG24" s="326" t="str">
        <f t="shared" si="10"/>
        <v/>
      </c>
      <c r="AH24" s="326" t="str">
        <f t="shared" si="11"/>
        <v/>
      </c>
      <c r="AI24" s="326">
        <f t="shared" ca="1" si="12"/>
        <v>0</v>
      </c>
    </row>
    <row r="25" spans="2:35" x14ac:dyDescent="0.25">
      <c r="B25" s="12" t="str">
        <f>IF('3. Calculator'!B23=0, "", '3. Calculator'!B23)</f>
        <v/>
      </c>
      <c r="C25" s="330" t="str">
        <f>IF('3. Calculator'!D23=0, "", '3. Calculator'!D23)</f>
        <v/>
      </c>
      <c r="D25" s="326" t="str">
        <f>IF('3. Calculator'!E23=0, "", '3. Calculator'!E23)</f>
        <v/>
      </c>
      <c r="E25" s="326">
        <f>IF('3. Calculator'!L23="", 1, IF('3. Calculator'!L23="Not applicable", 1, IF('3. Calculator'!L23="Lower", 1, VLOOKUP('3. Calculator'!E23, HVConversionValues,2,FALSE))))</f>
        <v>1</v>
      </c>
      <c r="F25" s="326" t="str">
        <f>IF('3. Calculator'!H23=0, "", '3. Calculator'!H23)</f>
        <v/>
      </c>
      <c r="G25" s="326" t="str">
        <f>IF('3. Calculator'!I23=0, "", '3. Calculator'!I23)</f>
        <v/>
      </c>
      <c r="H25" s="331" t="str">
        <f>IF('3. Calculator'!C23=0, "", '3. Calculator'!C23)</f>
        <v/>
      </c>
      <c r="I25" s="345" t="str">
        <f t="shared" si="0"/>
        <v/>
      </c>
      <c r="J25" s="326" t="str">
        <f ca="1">IF(ghostSpreadsheet_N2O!H25="","",VLOOKUP(D25, INDIRECT(I25), 2, FALSE))</f>
        <v/>
      </c>
      <c r="K25" s="415" t="str">
        <f>IF(ISNA(VLOOKUP('3. Calculator'!E23, fuelInfo, 4, FALSE)),"", (E25*VLOOKUP('3. Calculator'!E23, fuelInfo, 4, FALSE)))</f>
        <v/>
      </c>
      <c r="L25" s="382" t="str">
        <f>IF(ISNA(VLOOKUP('3. Calculator'!I23,unitStates,3,FALSE)), "", (VLOOKUP('3. Calculator'!I23,unitStates,3,FALSE)))</f>
        <v/>
      </c>
      <c r="M25" s="379" t="str">
        <f>IF(C25="My fuels", "", IF(L25=0, VLOOKUP('3. Calculator'!I23, energyEFs,3,FALSE),""))</f>
        <v/>
      </c>
      <c r="N25" s="428"/>
      <c r="O25" s="380" t="str">
        <f t="shared" si="1"/>
        <v/>
      </c>
      <c r="P25" s="379" t="str">
        <f>IF(C25="My fuels", "", IF(L25=1, VLOOKUP('3. Calculator'!I23, solidEFs,3,FALSE),""))</f>
        <v/>
      </c>
      <c r="Q25" s="380" t="str">
        <f t="shared" si="13"/>
        <v/>
      </c>
      <c r="R25" s="379" t="str">
        <f>IF(L25=2,IF(ISNA(VLOOKUP('3. Calculator'!C23,industryEFTableKeysN2O, 2,FALSE)), "", VLOOKUP('3. Calculator'!C23,industryEFTableKeysN2O, 2,FALSE)),"")</f>
        <v/>
      </c>
      <c r="S25" s="326" t="str">
        <f t="shared" ca="1" si="14"/>
        <v/>
      </c>
      <c r="T25" s="326" t="str">
        <f xml:space="preserve"> IF(ISNA(VLOOKUP('3. Calculator'!I23,unitStates,4, FALSE)), "", (VLOOKUP('3. Calculator'!I23,unitStates,4, FALSE)))</f>
        <v/>
      </c>
      <c r="U25" s="326" t="str">
        <f t="shared" si="2"/>
        <v/>
      </c>
      <c r="V25" s="326" t="str">
        <f t="shared" ca="1" si="3"/>
        <v/>
      </c>
      <c r="W25" s="326" t="str">
        <f t="shared" ca="1" si="4"/>
        <v/>
      </c>
      <c r="X25" s="380" t="str">
        <f t="shared" ca="1" si="5"/>
        <v/>
      </c>
      <c r="Y25" s="379" t="str">
        <f>IF(L25=3, IF(ISNA(VLOOKUP('3. Calculator'!C23,industryEFTableKeysN2O, 3,FALSE)), "", VLOOKUP('3. Calculator'!C23,industryEFTableKeysN2O, 3,FALSE)), "")</f>
        <v/>
      </c>
      <c r="Z25" s="326" t="str">
        <f t="shared" ca="1" si="15"/>
        <v/>
      </c>
      <c r="AA25" s="326" t="str">
        <f ca="1">+IF(Z25="", "", IF(ISNA(VLOOKUP('3. Calculator'!I23,unitStates,5, FALSE)), "", (VLOOKUP('3. Calculator'!I23,unitStates,5, FALSE))))</f>
        <v/>
      </c>
      <c r="AB25" s="326" t="str">
        <f t="shared" ca="1" si="6"/>
        <v/>
      </c>
      <c r="AC25" s="380" t="str">
        <f t="shared" ca="1" si="7"/>
        <v/>
      </c>
      <c r="AD25" s="345" t="str">
        <f t="shared" si="8"/>
        <v/>
      </c>
      <c r="AE25" s="345" t="str">
        <f t="shared" si="16"/>
        <v/>
      </c>
      <c r="AF25" s="326" t="str">
        <f t="shared" si="9"/>
        <v/>
      </c>
      <c r="AG25" s="326" t="str">
        <f t="shared" si="10"/>
        <v/>
      </c>
      <c r="AH25" s="326" t="str">
        <f t="shared" si="11"/>
        <v/>
      </c>
      <c r="AI25" s="326">
        <f t="shared" ca="1" si="12"/>
        <v>0</v>
      </c>
    </row>
    <row r="26" spans="2:35" x14ac:dyDescent="0.25">
      <c r="B26" s="12" t="str">
        <f>IF('3. Calculator'!B24=0, "", '3. Calculator'!B24)</f>
        <v/>
      </c>
      <c r="C26" s="330" t="str">
        <f>IF('3. Calculator'!D24=0, "", '3. Calculator'!D24)</f>
        <v/>
      </c>
      <c r="D26" s="326" t="str">
        <f>IF('3. Calculator'!E24=0, "", '3. Calculator'!E24)</f>
        <v/>
      </c>
      <c r="E26" s="326">
        <f>IF('3. Calculator'!L24="", 1, IF('3. Calculator'!L24="Not applicable", 1, IF('3. Calculator'!L24="Lower", 1, VLOOKUP('3. Calculator'!E24, HVConversionValues,2,FALSE))))</f>
        <v>1</v>
      </c>
      <c r="F26" s="326" t="str">
        <f>IF('3. Calculator'!H24=0, "", '3. Calculator'!H24)</f>
        <v/>
      </c>
      <c r="G26" s="326" t="str">
        <f>IF('3. Calculator'!I24=0, "", '3. Calculator'!I24)</f>
        <v/>
      </c>
      <c r="H26" s="331" t="str">
        <f>IF('3. Calculator'!C24=0, "", '3. Calculator'!C24)</f>
        <v/>
      </c>
      <c r="I26" s="345" t="str">
        <f t="shared" si="0"/>
        <v/>
      </c>
      <c r="J26" s="326" t="str">
        <f ca="1">IF(ghostSpreadsheet_N2O!H26="","",VLOOKUP(D26, INDIRECT(I26), 2, FALSE))</f>
        <v/>
      </c>
      <c r="K26" s="415" t="str">
        <f>IF(ISNA(VLOOKUP('3. Calculator'!E24, fuelInfo, 4, FALSE)),"", (E26*VLOOKUP('3. Calculator'!E24, fuelInfo, 4, FALSE)))</f>
        <v/>
      </c>
      <c r="L26" s="382" t="str">
        <f>IF(ISNA(VLOOKUP('3. Calculator'!I24,unitStates,3,FALSE)), "", (VLOOKUP('3. Calculator'!I24,unitStates,3,FALSE)))</f>
        <v/>
      </c>
      <c r="M26" s="379" t="str">
        <f>IF(C26="My fuels", "", IF(L26=0, VLOOKUP('3. Calculator'!I24, energyEFs,3,FALSE),""))</f>
        <v/>
      </c>
      <c r="N26" s="428"/>
      <c r="O26" s="380" t="str">
        <f t="shared" si="1"/>
        <v/>
      </c>
      <c r="P26" s="379" t="str">
        <f>IF(C26="My fuels", "", IF(L26=1, VLOOKUP('3. Calculator'!I24, solidEFs,3,FALSE),""))</f>
        <v/>
      </c>
      <c r="Q26" s="380" t="str">
        <f t="shared" si="13"/>
        <v/>
      </c>
      <c r="R26" s="379" t="str">
        <f>IF(L26=2,IF(ISNA(VLOOKUP('3. Calculator'!C24,industryEFTableKeysN2O, 2,FALSE)), "", VLOOKUP('3. Calculator'!C24,industryEFTableKeysN2O, 2,FALSE)),"")</f>
        <v/>
      </c>
      <c r="S26" s="326" t="str">
        <f t="shared" ca="1" si="14"/>
        <v/>
      </c>
      <c r="T26" s="326" t="str">
        <f xml:space="preserve"> IF(ISNA(VLOOKUP('3. Calculator'!I24,unitStates,4, FALSE)), "", (VLOOKUP('3. Calculator'!I24,unitStates,4, FALSE)))</f>
        <v/>
      </c>
      <c r="U26" s="326" t="str">
        <f t="shared" si="2"/>
        <v/>
      </c>
      <c r="V26" s="326" t="str">
        <f t="shared" ca="1" si="3"/>
        <v/>
      </c>
      <c r="W26" s="326" t="str">
        <f t="shared" ca="1" si="4"/>
        <v/>
      </c>
      <c r="X26" s="380" t="str">
        <f t="shared" ca="1" si="5"/>
        <v/>
      </c>
      <c r="Y26" s="379" t="str">
        <f>IF(L26=3, IF(ISNA(VLOOKUP('3. Calculator'!C24,industryEFTableKeysN2O, 3,FALSE)), "", VLOOKUP('3. Calculator'!C24,industryEFTableKeysN2O, 3,FALSE)), "")</f>
        <v/>
      </c>
      <c r="Z26" s="326" t="str">
        <f t="shared" ca="1" si="15"/>
        <v/>
      </c>
      <c r="AA26" s="326" t="str">
        <f ca="1">+IF(Z26="", "", IF(ISNA(VLOOKUP('3. Calculator'!I24,unitStates,5, FALSE)), "", (VLOOKUP('3. Calculator'!I24,unitStates,5, FALSE))))</f>
        <v/>
      </c>
      <c r="AB26" s="326" t="str">
        <f t="shared" ca="1" si="6"/>
        <v/>
      </c>
      <c r="AC26" s="380" t="str">
        <f t="shared" ca="1" si="7"/>
        <v/>
      </c>
      <c r="AD26" s="345" t="str">
        <f t="shared" si="8"/>
        <v/>
      </c>
      <c r="AE26" s="345" t="str">
        <f t="shared" si="16"/>
        <v/>
      </c>
      <c r="AF26" s="326" t="str">
        <f t="shared" si="9"/>
        <v/>
      </c>
      <c r="AG26" s="326" t="str">
        <f t="shared" si="10"/>
        <v/>
      </c>
      <c r="AH26" s="326" t="str">
        <f t="shared" si="11"/>
        <v/>
      </c>
      <c r="AI26" s="326">
        <f t="shared" ca="1" si="12"/>
        <v>0</v>
      </c>
    </row>
    <row r="27" spans="2:35" x14ac:dyDescent="0.25">
      <c r="B27" s="12" t="str">
        <f>IF('3. Calculator'!B25=0, "", '3. Calculator'!B25)</f>
        <v/>
      </c>
      <c r="C27" s="330" t="str">
        <f>IF('3. Calculator'!D25=0, "", '3. Calculator'!D25)</f>
        <v/>
      </c>
      <c r="D27" s="326" t="str">
        <f>IF('3. Calculator'!E25=0, "", '3. Calculator'!E25)</f>
        <v/>
      </c>
      <c r="E27" s="326">
        <f>IF('3. Calculator'!L25="", 1, IF('3. Calculator'!L25="Not applicable", 1, IF('3. Calculator'!L25="Lower", 1, VLOOKUP('3. Calculator'!E25, HVConversionValues,2,FALSE))))</f>
        <v>1</v>
      </c>
      <c r="F27" s="326" t="str">
        <f>IF('3. Calculator'!H25=0, "", '3. Calculator'!H25)</f>
        <v/>
      </c>
      <c r="G27" s="326" t="str">
        <f>IF('3. Calculator'!I25=0, "", '3. Calculator'!I25)</f>
        <v/>
      </c>
      <c r="H27" s="331" t="str">
        <f>IF('3. Calculator'!C25=0, "", '3. Calculator'!C25)</f>
        <v/>
      </c>
      <c r="I27" s="345" t="str">
        <f t="shared" si="0"/>
        <v/>
      </c>
      <c r="J27" s="326" t="str">
        <f ca="1">IF(ghostSpreadsheet_N2O!H27="","",VLOOKUP(D27, INDIRECT(I27), 2, FALSE))</f>
        <v/>
      </c>
      <c r="K27" s="415" t="str">
        <f>IF(ISNA(VLOOKUP('3. Calculator'!E25, fuelInfo, 4, FALSE)),"", (E27*VLOOKUP('3. Calculator'!E25, fuelInfo, 4, FALSE)))</f>
        <v/>
      </c>
      <c r="L27" s="382" t="str">
        <f>IF(ISNA(VLOOKUP('3. Calculator'!I25,unitStates,3,FALSE)), "", (VLOOKUP('3. Calculator'!I25,unitStates,3,FALSE)))</f>
        <v/>
      </c>
      <c r="M27" s="379" t="str">
        <f>IF(C27="My fuels", "", IF(L27=0, VLOOKUP('3. Calculator'!I25, energyEFs,3,FALSE),""))</f>
        <v/>
      </c>
      <c r="N27" s="428"/>
      <c r="O27" s="380" t="str">
        <f t="shared" si="1"/>
        <v/>
      </c>
      <c r="P27" s="379" t="str">
        <f>IF(C27="My fuels", "", IF(L27=1, VLOOKUP('3. Calculator'!I25, solidEFs,3,FALSE),""))</f>
        <v/>
      </c>
      <c r="Q27" s="380" t="str">
        <f t="shared" si="13"/>
        <v/>
      </c>
      <c r="R27" s="379" t="str">
        <f>IF(L27=2,IF(ISNA(VLOOKUP('3. Calculator'!C25,industryEFTableKeysN2O, 2,FALSE)), "", VLOOKUP('3. Calculator'!C25,industryEFTableKeysN2O, 2,FALSE)),"")</f>
        <v/>
      </c>
      <c r="S27" s="326" t="str">
        <f t="shared" ca="1" si="14"/>
        <v/>
      </c>
      <c r="T27" s="326" t="str">
        <f xml:space="preserve"> IF(ISNA(VLOOKUP('3. Calculator'!I25,unitStates,4, FALSE)), "", (VLOOKUP('3. Calculator'!I25,unitStates,4, FALSE)))</f>
        <v/>
      </c>
      <c r="U27" s="326" t="str">
        <f t="shared" si="2"/>
        <v/>
      </c>
      <c r="V27" s="326" t="str">
        <f t="shared" ca="1" si="3"/>
        <v/>
      </c>
      <c r="W27" s="326" t="str">
        <f t="shared" ca="1" si="4"/>
        <v/>
      </c>
      <c r="X27" s="380" t="str">
        <f t="shared" ca="1" si="5"/>
        <v/>
      </c>
      <c r="Y27" s="379" t="str">
        <f>IF(L27=3, IF(ISNA(VLOOKUP('3. Calculator'!C25,industryEFTableKeysN2O, 3,FALSE)), "", VLOOKUP('3. Calculator'!C25,industryEFTableKeysN2O, 3,FALSE)), "")</f>
        <v/>
      </c>
      <c r="Z27" s="326" t="str">
        <f t="shared" ca="1" si="15"/>
        <v/>
      </c>
      <c r="AA27" s="326" t="str">
        <f ca="1">+IF(Z27="", "", IF(ISNA(VLOOKUP('3. Calculator'!I25,unitStates,5, FALSE)), "", (VLOOKUP('3. Calculator'!I25,unitStates,5, FALSE))))</f>
        <v/>
      </c>
      <c r="AB27" s="326" t="str">
        <f t="shared" ca="1" si="6"/>
        <v/>
      </c>
      <c r="AC27" s="380" t="str">
        <f t="shared" ca="1" si="7"/>
        <v/>
      </c>
      <c r="AD27" s="345" t="str">
        <f t="shared" si="8"/>
        <v/>
      </c>
      <c r="AE27" s="345" t="str">
        <f t="shared" si="16"/>
        <v/>
      </c>
      <c r="AF27" s="326" t="str">
        <f t="shared" si="9"/>
        <v/>
      </c>
      <c r="AG27" s="326" t="str">
        <f t="shared" si="10"/>
        <v/>
      </c>
      <c r="AH27" s="326" t="str">
        <f t="shared" si="11"/>
        <v/>
      </c>
      <c r="AI27" s="326">
        <f t="shared" ca="1" si="12"/>
        <v>0</v>
      </c>
    </row>
    <row r="28" spans="2:35" x14ac:dyDescent="0.25">
      <c r="B28" s="12" t="str">
        <f>IF('3. Calculator'!B29=0, "", '3. Calculator'!B29)</f>
        <v/>
      </c>
      <c r="C28" s="330" t="str">
        <f>IF('3. Calculator'!D29=0, "", '3. Calculator'!D29)</f>
        <v/>
      </c>
      <c r="D28" s="326" t="str">
        <f>IF('3. Calculator'!E29=0, "", '3. Calculator'!E29)</f>
        <v/>
      </c>
      <c r="E28" s="326">
        <f>IF('3. Calculator'!L29="", 1, IF('3. Calculator'!L29="Not applicable", 1, IF('3. Calculator'!L29="Lower", 1, VLOOKUP('3. Calculator'!E29, HVConversionValues,2,FALSE))))</f>
        <v>1</v>
      </c>
      <c r="F28" s="326" t="str">
        <f>IF('3. Calculator'!H29=0, "", '3. Calculator'!H29)</f>
        <v/>
      </c>
      <c r="G28" s="326" t="str">
        <f>IF('3. Calculator'!I29=0, "", '3. Calculator'!I29)</f>
        <v/>
      </c>
      <c r="H28" s="331" t="str">
        <f>IF('3. Calculator'!C29=0, "", '3. Calculator'!C29)</f>
        <v/>
      </c>
      <c r="I28" s="345" t="str">
        <f t="shared" si="0"/>
        <v/>
      </c>
      <c r="J28" s="326" t="str">
        <f ca="1">IF(ghostSpreadsheet_N2O!H28="","",VLOOKUP(D28, INDIRECT(I28), 2, FALSE))</f>
        <v/>
      </c>
      <c r="K28" s="415" t="str">
        <f>IF(ISNA(VLOOKUP('3. Calculator'!E29, fuelInfo, 4, FALSE)),"", (E28*VLOOKUP('3. Calculator'!E29, fuelInfo, 4, FALSE)))</f>
        <v/>
      </c>
      <c r="L28" s="382" t="str">
        <f>IF(ISNA(VLOOKUP('3. Calculator'!I29,unitStates,3,FALSE)), "", (VLOOKUP('3. Calculator'!I29,unitStates,3,FALSE)))</f>
        <v/>
      </c>
      <c r="M28" s="379" t="str">
        <f>IF(C28="My fuels", "", IF(L28=0, VLOOKUP('3. Calculator'!I29, energyEFs,3,FALSE),""))</f>
        <v/>
      </c>
      <c r="N28" s="428"/>
      <c r="O28" s="380" t="str">
        <f t="shared" si="1"/>
        <v/>
      </c>
      <c r="P28" s="379" t="str">
        <f>IF(C28="My fuels", "", IF(L28=1, VLOOKUP('3. Calculator'!I29, solidEFs,3,FALSE),""))</f>
        <v/>
      </c>
      <c r="Q28" s="380" t="str">
        <f t="shared" si="13"/>
        <v/>
      </c>
      <c r="R28" s="379" t="str">
        <f>IF(L28=2,IF(ISNA(VLOOKUP('3. Calculator'!C29,industryEFTableKeysN2O, 2,FALSE)), "", VLOOKUP('3. Calculator'!C29,industryEFTableKeysN2O, 2,FALSE)),"")</f>
        <v/>
      </c>
      <c r="S28" s="326" t="str">
        <f t="shared" ca="1" si="14"/>
        <v/>
      </c>
      <c r="T28" s="326" t="str">
        <f xml:space="preserve"> IF(ISNA(VLOOKUP('3. Calculator'!I29,unitStates,4, FALSE)), "", (VLOOKUP('3. Calculator'!I29,unitStates,4, FALSE)))</f>
        <v/>
      </c>
      <c r="U28" s="326" t="str">
        <f t="shared" si="2"/>
        <v/>
      </c>
      <c r="V28" s="326" t="str">
        <f t="shared" ca="1" si="3"/>
        <v/>
      </c>
      <c r="W28" s="326" t="str">
        <f t="shared" ca="1" si="4"/>
        <v/>
      </c>
      <c r="X28" s="380" t="str">
        <f t="shared" ca="1" si="5"/>
        <v/>
      </c>
      <c r="Y28" s="379" t="str">
        <f>IF(L28=3, IF(ISNA(VLOOKUP('3. Calculator'!C29,industryEFTableKeysN2O, 3,FALSE)), "", VLOOKUP('3. Calculator'!C29,industryEFTableKeysN2O, 3,FALSE)), "")</f>
        <v/>
      </c>
      <c r="Z28" s="326" t="str">
        <f t="shared" ca="1" si="15"/>
        <v/>
      </c>
      <c r="AA28" s="326" t="str">
        <f ca="1">+IF(Z28="", "", IF(ISNA(VLOOKUP('3. Calculator'!I29,unitStates,5, FALSE)), "", (VLOOKUP('3. Calculator'!I29,unitStates,5, FALSE))))</f>
        <v/>
      </c>
      <c r="AB28" s="326" t="str">
        <f t="shared" ca="1" si="6"/>
        <v/>
      </c>
      <c r="AC28" s="380" t="str">
        <f t="shared" ca="1" si="7"/>
        <v/>
      </c>
      <c r="AD28" s="345" t="str">
        <f t="shared" si="8"/>
        <v/>
      </c>
      <c r="AE28" s="345" t="str">
        <f t="shared" si="16"/>
        <v/>
      </c>
      <c r="AF28" s="326" t="str">
        <f t="shared" si="9"/>
        <v/>
      </c>
      <c r="AG28" s="326" t="str">
        <f t="shared" si="10"/>
        <v/>
      </c>
      <c r="AH28" s="326" t="str">
        <f t="shared" si="11"/>
        <v/>
      </c>
      <c r="AI28" s="326">
        <f t="shared" ca="1" si="12"/>
        <v>0</v>
      </c>
    </row>
    <row r="29" spans="2:35" x14ac:dyDescent="0.25">
      <c r="B29" s="12" t="str">
        <f>IF('3. Calculator'!B30=0, "", '3. Calculator'!B30)</f>
        <v/>
      </c>
      <c r="C29" s="330" t="str">
        <f>IF('3. Calculator'!D30=0, "", '3. Calculator'!D30)</f>
        <v/>
      </c>
      <c r="D29" s="326" t="str">
        <f>IF('3. Calculator'!E30=0, "", '3. Calculator'!E30)</f>
        <v/>
      </c>
      <c r="E29" s="326">
        <f>IF('3. Calculator'!L30="", 1, IF('3. Calculator'!L30="Not applicable", 1, IF('3. Calculator'!L30="Lower", 1, VLOOKUP('3. Calculator'!E30, HVConversionValues,2,FALSE))))</f>
        <v>1</v>
      </c>
      <c r="F29" s="326" t="str">
        <f>IF('3. Calculator'!H30=0, "", '3. Calculator'!H30)</f>
        <v/>
      </c>
      <c r="G29" s="326" t="str">
        <f>IF('3. Calculator'!I30=0, "", '3. Calculator'!I30)</f>
        <v/>
      </c>
      <c r="H29" s="331" t="str">
        <f>IF('3. Calculator'!C30=0, "", '3. Calculator'!C30)</f>
        <v/>
      </c>
      <c r="I29" s="345" t="str">
        <f t="shared" ref="I29:I34" si="17">IF(ISNA(VLOOKUP(H29,N2OIndustryKeys,2,FALSE)),"",(VLOOKUP(H29,N2OIndustryKeys,2,FALSE)))</f>
        <v/>
      </c>
      <c r="J29" s="326" t="str">
        <f ca="1">IF(ghostSpreadsheet_N2O!H29="","",VLOOKUP(D29, INDIRECT(I29), 2, FALSE))</f>
        <v/>
      </c>
      <c r="K29" s="415" t="str">
        <f>IF(ISNA(VLOOKUP('3. Calculator'!E30, fuelInfo, 4, FALSE)),"", (E29*VLOOKUP('3. Calculator'!E30, fuelInfo, 4, FALSE)))</f>
        <v/>
      </c>
      <c r="L29" s="382" t="str">
        <f>IF(ISNA(VLOOKUP('3. Calculator'!I30,unitStates,3,FALSE)), "", (VLOOKUP('3. Calculator'!I30,unitStates,3,FALSE)))</f>
        <v/>
      </c>
      <c r="M29" s="379" t="str">
        <f>IF(C29="My fuels", "", IF(L29=0, VLOOKUP('3. Calculator'!I30, energyEFs,3,FALSE),""))</f>
        <v/>
      </c>
      <c r="N29" s="428"/>
      <c r="O29" s="380" t="str">
        <f t="shared" ref="O29:O34" si="18">IF(M29="","", F29*J29*(1/E29)*M29)</f>
        <v/>
      </c>
      <c r="P29" s="379" t="str">
        <f>IF(C29="My fuels", "", IF(L29=1, VLOOKUP('3. Calculator'!I30, solidEFs,3,FALSE),""))</f>
        <v/>
      </c>
      <c r="Q29" s="380" t="str">
        <f t="shared" ref="Q29:Q34" si="19">IF(P29="", "", F29*J29*(1/E29)*K29*P29)</f>
        <v/>
      </c>
      <c r="R29" s="379" t="str">
        <f>IF(L29=2,IF(ISNA(VLOOKUP('3. Calculator'!C30,industryEFTableKeysN2O, 2,FALSE)), "", VLOOKUP('3. Calculator'!C30,industryEFTableKeysN2O, 2,FALSE)),"")</f>
        <v/>
      </c>
      <c r="S29" s="326" t="str">
        <f t="shared" ref="S29:S34" ca="1" si="20">IF(C29="My fuels", "", IF(L29=2, VLOOKUP(D29, INDIRECT(R29),6,FALSE),""))</f>
        <v/>
      </c>
      <c r="T29" s="326" t="str">
        <f xml:space="preserve"> IF(ISNA(VLOOKUP('3. Calculator'!I30,unitStates,4, FALSE)), "", (VLOOKUP('3. Calculator'!I30,unitStates,4, FALSE)))</f>
        <v/>
      </c>
      <c r="U29" s="326" t="str">
        <f t="shared" ref="U29:U34" si="21">IF(L29=2, F29*S29,"")</f>
        <v/>
      </c>
      <c r="V29" s="326" t="str">
        <f t="shared" ref="V29:V34" ca="1" si="22">IF(S29="", "", IF(T29=2, 3.785,1))</f>
        <v/>
      </c>
      <c r="W29" s="326" t="str">
        <f t="shared" ref="W29:W34" ca="1" si="23">IF(S29="","",IF(T29=3, 158.99,1))</f>
        <v/>
      </c>
      <c r="X29" s="380" t="str">
        <f t="shared" ref="X29:X34" ca="1" si="24">+IF(S29="", "", U29*V29*W29)</f>
        <v/>
      </c>
      <c r="Y29" s="379" t="str">
        <f>IF(L29=3, IF(ISNA(VLOOKUP('3. Calculator'!C30,industryEFTableKeysN2O, 3,FALSE)), "", VLOOKUP('3. Calculator'!C30,industryEFTableKeysN2O, 3,FALSE)), "")</f>
        <v/>
      </c>
      <c r="Z29" s="326" t="str">
        <f t="shared" ref="Z29:Z34" ca="1" si="25">IF(C29="My fuels", "", IF(L29=3, VLOOKUP(D29, INDIRECT(Y29),6,FALSE),""))</f>
        <v/>
      </c>
      <c r="AA29" s="326" t="str">
        <f ca="1">+IF(Z29="", "", IF(ISNA(VLOOKUP('3. Calculator'!I30,unitStates,5, FALSE)), "", (VLOOKUP('3. Calculator'!I30,unitStates,5, FALSE))))</f>
        <v/>
      </c>
      <c r="AB29" s="326" t="str">
        <f t="shared" ref="AB29:AB34" ca="1" si="26">IF(Z29="","", IF(AA29=1,1,0.02832))</f>
        <v/>
      </c>
      <c r="AC29" s="380" t="str">
        <f t="shared" ref="AC29:AC34" ca="1" si="27">IF(Z29="", "", F29*Z29*AB29)</f>
        <v/>
      </c>
      <c r="AD29" s="345" t="str">
        <f t="shared" ref="AD29:AD34" si="28">IF(C29="My fuels", VLOOKUP(D29, customTable, 13, FALSE), "")</f>
        <v/>
      </c>
      <c r="AE29" s="345" t="str">
        <f t="shared" ref="AE29:AE34" si="29">IF(C29="My fuels", VLOOKUP(D29, customTable,3, FALSE)&amp;" "&amp;VLOOKUP(D29, customTable,6, FALSE)&amp;"/"&amp;VLOOKUP(D29, customTable,7, FALSE),"")</f>
        <v/>
      </c>
      <c r="AF29" s="326" t="str">
        <f t="shared" ref="AF29:AF34" si="30">IF(AD29="", "", AD29*F29)</f>
        <v/>
      </c>
      <c r="AG29" s="326" t="str">
        <f t="shared" ref="AG29:AG34" si="31">+IF(ISERROR(VLOOKUP(G29,customConversionFactors, 4, FALSE)), "", VLOOKUP(G29,customConversionFactors, 4, FALSE))</f>
        <v/>
      </c>
      <c r="AH29" s="326" t="str">
        <f t="shared" ref="AH29:AH34" si="32">IF(ISERROR(IF(AD29="", "", AF29*AG29)), "", IF(AD29="", "", AF29*AG29))</f>
        <v/>
      </c>
      <c r="AI29" s="326">
        <f t="shared" ref="AI29:AI34" ca="1" si="33">IF(AH29="", IF(O29="",0,O29)+IF(Q29="",0,Q29)+IF(X29="",0,X29)+IF(AC29="",0,AC29), AH29)</f>
        <v>0</v>
      </c>
    </row>
    <row r="30" spans="2:35" x14ac:dyDescent="0.25">
      <c r="B30" s="12" t="str">
        <f>IF('3. Calculator'!B31=0, "", '3. Calculator'!B31)</f>
        <v/>
      </c>
      <c r="C30" s="330" t="str">
        <f>IF('3. Calculator'!D31=0, "", '3. Calculator'!D31)</f>
        <v/>
      </c>
      <c r="D30" s="326" t="str">
        <f>IF('3. Calculator'!E31=0, "", '3. Calculator'!E31)</f>
        <v/>
      </c>
      <c r="E30" s="326">
        <f>IF('3. Calculator'!L31="", 1, IF('3. Calculator'!L31="Not applicable", 1, IF('3. Calculator'!L31="Lower", 1, VLOOKUP('3. Calculator'!E31, HVConversionValues,2,FALSE))))</f>
        <v>1</v>
      </c>
      <c r="F30" s="326" t="str">
        <f>IF('3. Calculator'!H31=0, "", '3. Calculator'!H31)</f>
        <v/>
      </c>
      <c r="G30" s="326" t="str">
        <f>IF('3. Calculator'!I31=0, "", '3. Calculator'!I31)</f>
        <v/>
      </c>
      <c r="H30" s="331" t="str">
        <f>IF('3. Calculator'!C31=0, "", '3. Calculator'!C31)</f>
        <v/>
      </c>
      <c r="I30" s="345" t="str">
        <f t="shared" si="17"/>
        <v/>
      </c>
      <c r="J30" s="326" t="str">
        <f ca="1">IF(ghostSpreadsheet_N2O!H30="","",VLOOKUP(D30, INDIRECT(I30), 2, FALSE))</f>
        <v/>
      </c>
      <c r="K30" s="415" t="str">
        <f>IF(ISNA(VLOOKUP('3. Calculator'!E31, fuelInfo, 4, FALSE)),"", (E30*VLOOKUP('3. Calculator'!E31, fuelInfo, 4, FALSE)))</f>
        <v/>
      </c>
      <c r="L30" s="382" t="str">
        <f>IF(ISNA(VLOOKUP('3. Calculator'!I31,unitStates,3,FALSE)), "", (VLOOKUP('3. Calculator'!I31,unitStates,3,FALSE)))</f>
        <v/>
      </c>
      <c r="M30" s="379" t="str">
        <f>IF(C30="My fuels", "", IF(L30=0, VLOOKUP('3. Calculator'!I31, energyEFs,3,FALSE),""))</f>
        <v/>
      </c>
      <c r="N30" s="428"/>
      <c r="O30" s="380" t="str">
        <f t="shared" si="18"/>
        <v/>
      </c>
      <c r="P30" s="379" t="str">
        <f>IF(C30="My fuels", "", IF(L30=1, VLOOKUP('3. Calculator'!I31, solidEFs,3,FALSE),""))</f>
        <v/>
      </c>
      <c r="Q30" s="380" t="str">
        <f t="shared" si="19"/>
        <v/>
      </c>
      <c r="R30" s="379" t="str">
        <f>IF(L30=2,IF(ISNA(VLOOKUP('3. Calculator'!C31,industryEFTableKeysN2O, 2,FALSE)), "", VLOOKUP('3. Calculator'!C31,industryEFTableKeysN2O, 2,FALSE)),"")</f>
        <v/>
      </c>
      <c r="S30" s="326" t="str">
        <f t="shared" ca="1" si="20"/>
        <v/>
      </c>
      <c r="T30" s="326" t="str">
        <f xml:space="preserve"> IF(ISNA(VLOOKUP('3. Calculator'!I31,unitStates,4, FALSE)), "", (VLOOKUP('3. Calculator'!I31,unitStates,4, FALSE)))</f>
        <v/>
      </c>
      <c r="U30" s="326" t="str">
        <f t="shared" si="21"/>
        <v/>
      </c>
      <c r="V30" s="326" t="str">
        <f t="shared" ca="1" si="22"/>
        <v/>
      </c>
      <c r="W30" s="326" t="str">
        <f t="shared" ca="1" si="23"/>
        <v/>
      </c>
      <c r="X30" s="380" t="str">
        <f t="shared" ca="1" si="24"/>
        <v/>
      </c>
      <c r="Y30" s="379" t="str">
        <f>IF(L30=3, IF(ISNA(VLOOKUP('3. Calculator'!C31,industryEFTableKeysN2O, 3,FALSE)), "", VLOOKUP('3. Calculator'!C31,industryEFTableKeysN2O, 3,FALSE)), "")</f>
        <v/>
      </c>
      <c r="Z30" s="326" t="str">
        <f t="shared" ca="1" si="25"/>
        <v/>
      </c>
      <c r="AA30" s="326" t="str">
        <f ca="1">+IF(Z30="", "", IF(ISNA(VLOOKUP('3. Calculator'!I31,unitStates,5, FALSE)), "", (VLOOKUP('3. Calculator'!I31,unitStates,5, FALSE))))</f>
        <v/>
      </c>
      <c r="AB30" s="326" t="str">
        <f t="shared" ca="1" si="26"/>
        <v/>
      </c>
      <c r="AC30" s="380" t="str">
        <f t="shared" ca="1" si="27"/>
        <v/>
      </c>
      <c r="AD30" s="345" t="str">
        <f t="shared" si="28"/>
        <v/>
      </c>
      <c r="AE30" s="345" t="str">
        <f t="shared" si="29"/>
        <v/>
      </c>
      <c r="AF30" s="326" t="str">
        <f t="shared" si="30"/>
        <v/>
      </c>
      <c r="AG30" s="326" t="str">
        <f t="shared" si="31"/>
        <v/>
      </c>
      <c r="AH30" s="326" t="str">
        <f t="shared" si="32"/>
        <v/>
      </c>
      <c r="AI30" s="326">
        <f t="shared" ca="1" si="33"/>
        <v>0</v>
      </c>
    </row>
    <row r="31" spans="2:35" x14ac:dyDescent="0.25">
      <c r="B31" s="12" t="str">
        <f>IF('3. Calculator'!B32=0, "", '3. Calculator'!B32)</f>
        <v/>
      </c>
      <c r="C31" s="330" t="str">
        <f>IF('3. Calculator'!D32=0, "", '3. Calculator'!D32)</f>
        <v/>
      </c>
      <c r="D31" s="326" t="str">
        <f>IF('3. Calculator'!E32=0, "", '3. Calculator'!E32)</f>
        <v/>
      </c>
      <c r="E31" s="326">
        <f>IF('3. Calculator'!L32="", 1, IF('3. Calculator'!L32="Not applicable", 1, IF('3. Calculator'!L32="Lower", 1, VLOOKUP('3. Calculator'!E32, HVConversionValues,2,FALSE))))</f>
        <v>1</v>
      </c>
      <c r="F31" s="326" t="str">
        <f>IF('3. Calculator'!H32=0, "", '3. Calculator'!H32)</f>
        <v/>
      </c>
      <c r="G31" s="326" t="str">
        <f>IF('3. Calculator'!I32=0, "", '3. Calculator'!I32)</f>
        <v/>
      </c>
      <c r="H31" s="331" t="str">
        <f>IF('3. Calculator'!C32=0, "", '3. Calculator'!C32)</f>
        <v/>
      </c>
      <c r="I31" s="345" t="str">
        <f t="shared" si="17"/>
        <v/>
      </c>
      <c r="J31" s="326" t="str">
        <f ca="1">IF(ghostSpreadsheet_N2O!H31="","",VLOOKUP(D31, INDIRECT(I31), 2, FALSE))</f>
        <v/>
      </c>
      <c r="K31" s="415" t="str">
        <f>IF(ISNA(VLOOKUP('3. Calculator'!E32, fuelInfo, 4, FALSE)),"", (E31*VLOOKUP('3. Calculator'!E32, fuelInfo, 4, FALSE)))</f>
        <v/>
      </c>
      <c r="L31" s="382" t="str">
        <f>IF(ISNA(VLOOKUP('3. Calculator'!I32,unitStates,3,FALSE)), "", (VLOOKUP('3. Calculator'!I32,unitStates,3,FALSE)))</f>
        <v/>
      </c>
      <c r="M31" s="379" t="str">
        <f>IF(C31="My fuels", "", IF(L31=0, VLOOKUP('3. Calculator'!I32, energyEFs,3,FALSE),""))</f>
        <v/>
      </c>
      <c r="N31" s="428"/>
      <c r="O31" s="380" t="str">
        <f t="shared" si="18"/>
        <v/>
      </c>
      <c r="P31" s="379" t="str">
        <f>IF(C31="My fuels", "", IF(L31=1, VLOOKUP('3. Calculator'!I32, solidEFs,3,FALSE),""))</f>
        <v/>
      </c>
      <c r="Q31" s="380" t="str">
        <f t="shared" si="19"/>
        <v/>
      </c>
      <c r="R31" s="379" t="str">
        <f>IF(L31=2,IF(ISNA(VLOOKUP('3. Calculator'!C32,industryEFTableKeysN2O, 2,FALSE)), "", VLOOKUP('3. Calculator'!C32,industryEFTableKeysN2O, 2,FALSE)),"")</f>
        <v/>
      </c>
      <c r="S31" s="326" t="str">
        <f t="shared" ca="1" si="20"/>
        <v/>
      </c>
      <c r="T31" s="326" t="str">
        <f xml:space="preserve"> IF(ISNA(VLOOKUP('3. Calculator'!I32,unitStates,4, FALSE)), "", (VLOOKUP('3. Calculator'!I32,unitStates,4, FALSE)))</f>
        <v/>
      </c>
      <c r="U31" s="326" t="str">
        <f t="shared" si="21"/>
        <v/>
      </c>
      <c r="V31" s="326" t="str">
        <f t="shared" ca="1" si="22"/>
        <v/>
      </c>
      <c r="W31" s="326" t="str">
        <f t="shared" ca="1" si="23"/>
        <v/>
      </c>
      <c r="X31" s="380" t="str">
        <f t="shared" ca="1" si="24"/>
        <v/>
      </c>
      <c r="Y31" s="379" t="str">
        <f>IF(L31=3, IF(ISNA(VLOOKUP('3. Calculator'!C32,industryEFTableKeysN2O, 3,FALSE)), "", VLOOKUP('3. Calculator'!C32,industryEFTableKeysN2O, 3,FALSE)), "")</f>
        <v/>
      </c>
      <c r="Z31" s="326" t="str">
        <f t="shared" ca="1" si="25"/>
        <v/>
      </c>
      <c r="AA31" s="326" t="str">
        <f ca="1">+IF(Z31="", "", IF(ISNA(VLOOKUP('3. Calculator'!I32,unitStates,5, FALSE)), "", (VLOOKUP('3. Calculator'!I32,unitStates,5, FALSE))))</f>
        <v/>
      </c>
      <c r="AB31" s="326" t="str">
        <f t="shared" ca="1" si="26"/>
        <v/>
      </c>
      <c r="AC31" s="380" t="str">
        <f t="shared" ca="1" si="27"/>
        <v/>
      </c>
      <c r="AD31" s="345" t="str">
        <f t="shared" si="28"/>
        <v/>
      </c>
      <c r="AE31" s="345" t="str">
        <f t="shared" si="29"/>
        <v/>
      </c>
      <c r="AF31" s="326" t="str">
        <f t="shared" si="30"/>
        <v/>
      </c>
      <c r="AG31" s="326" t="str">
        <f t="shared" si="31"/>
        <v/>
      </c>
      <c r="AH31" s="326" t="str">
        <f t="shared" si="32"/>
        <v/>
      </c>
      <c r="AI31" s="326">
        <f t="shared" ca="1" si="33"/>
        <v>0</v>
      </c>
    </row>
    <row r="32" spans="2:35" x14ac:dyDescent="0.25">
      <c r="B32" s="12" t="str">
        <f>IF('3. Calculator'!B33=0, "", '3. Calculator'!B33)</f>
        <v/>
      </c>
      <c r="C32" s="330" t="str">
        <f>IF('3. Calculator'!D33=0, "", '3. Calculator'!D33)</f>
        <v/>
      </c>
      <c r="D32" s="326" t="str">
        <f>IF('3. Calculator'!E33=0, "", '3. Calculator'!E33)</f>
        <v/>
      </c>
      <c r="E32" s="326">
        <f>IF('3. Calculator'!L33="", 1, IF('3. Calculator'!L33="Not applicable", 1, IF('3. Calculator'!L33="Lower", 1, VLOOKUP('3. Calculator'!E33, HVConversionValues,2,FALSE))))</f>
        <v>1</v>
      </c>
      <c r="F32" s="326" t="str">
        <f>IF('3. Calculator'!H33=0, "", '3. Calculator'!H33)</f>
        <v/>
      </c>
      <c r="G32" s="326" t="str">
        <f>IF('3. Calculator'!I33=0, "", '3. Calculator'!I33)</f>
        <v/>
      </c>
      <c r="H32" s="331" t="str">
        <f>IF('3. Calculator'!C33=0, "", '3. Calculator'!C33)</f>
        <v/>
      </c>
      <c r="I32" s="345" t="str">
        <f t="shared" si="17"/>
        <v/>
      </c>
      <c r="J32" s="326" t="str">
        <f ca="1">IF(ghostSpreadsheet_N2O!H32="","",VLOOKUP(D32, INDIRECT(I32), 2, FALSE))</f>
        <v/>
      </c>
      <c r="K32" s="415" t="str">
        <f>IF(ISNA(VLOOKUP('3. Calculator'!E33, fuelInfo, 4, FALSE)),"", (E32*VLOOKUP('3. Calculator'!E33, fuelInfo, 4, FALSE)))</f>
        <v/>
      </c>
      <c r="L32" s="382" t="str">
        <f>IF(ISNA(VLOOKUP('3. Calculator'!I33,unitStates,3,FALSE)), "", (VLOOKUP('3. Calculator'!I33,unitStates,3,FALSE)))</f>
        <v/>
      </c>
      <c r="M32" s="379" t="str">
        <f>IF(C32="My fuels", "", IF(L32=0, VLOOKUP('3. Calculator'!I33, energyEFs,3,FALSE),""))</f>
        <v/>
      </c>
      <c r="N32" s="428"/>
      <c r="O32" s="380" t="str">
        <f t="shared" si="18"/>
        <v/>
      </c>
      <c r="P32" s="379" t="str">
        <f>IF(C32="My fuels", "", IF(L32=1, VLOOKUP('3. Calculator'!I33, solidEFs,3,FALSE),""))</f>
        <v/>
      </c>
      <c r="Q32" s="380" t="str">
        <f t="shared" si="19"/>
        <v/>
      </c>
      <c r="R32" s="379" t="str">
        <f>IF(L32=2,IF(ISNA(VLOOKUP('3. Calculator'!C33,industryEFTableKeysN2O, 2,FALSE)), "", VLOOKUP('3. Calculator'!C33,industryEFTableKeysN2O, 2,FALSE)),"")</f>
        <v/>
      </c>
      <c r="S32" s="326" t="str">
        <f t="shared" ca="1" si="20"/>
        <v/>
      </c>
      <c r="T32" s="326" t="str">
        <f xml:space="preserve"> IF(ISNA(VLOOKUP('3. Calculator'!I33,unitStates,4, FALSE)), "", (VLOOKUP('3. Calculator'!I33,unitStates,4, FALSE)))</f>
        <v/>
      </c>
      <c r="U32" s="326" t="str">
        <f t="shared" si="21"/>
        <v/>
      </c>
      <c r="V32" s="326" t="str">
        <f t="shared" ca="1" si="22"/>
        <v/>
      </c>
      <c r="W32" s="326" t="str">
        <f t="shared" ca="1" si="23"/>
        <v/>
      </c>
      <c r="X32" s="380" t="str">
        <f t="shared" ca="1" si="24"/>
        <v/>
      </c>
      <c r="Y32" s="379" t="str">
        <f>IF(L32=3, IF(ISNA(VLOOKUP('3. Calculator'!C33,industryEFTableKeysN2O, 3,FALSE)), "", VLOOKUP('3. Calculator'!C33,industryEFTableKeysN2O, 3,FALSE)), "")</f>
        <v/>
      </c>
      <c r="Z32" s="326" t="str">
        <f t="shared" ca="1" si="25"/>
        <v/>
      </c>
      <c r="AA32" s="326" t="str">
        <f ca="1">+IF(Z32="", "", IF(ISNA(VLOOKUP('3. Calculator'!I33,unitStates,5, FALSE)), "", (VLOOKUP('3. Calculator'!I33,unitStates,5, FALSE))))</f>
        <v/>
      </c>
      <c r="AB32" s="326" t="str">
        <f t="shared" ca="1" si="26"/>
        <v/>
      </c>
      <c r="AC32" s="380" t="str">
        <f t="shared" ca="1" si="27"/>
        <v/>
      </c>
      <c r="AD32" s="345" t="str">
        <f t="shared" si="28"/>
        <v/>
      </c>
      <c r="AE32" s="345" t="str">
        <f t="shared" si="29"/>
        <v/>
      </c>
      <c r="AF32" s="326" t="str">
        <f t="shared" si="30"/>
        <v/>
      </c>
      <c r="AG32" s="326" t="str">
        <f t="shared" si="31"/>
        <v/>
      </c>
      <c r="AH32" s="326" t="str">
        <f t="shared" si="32"/>
        <v/>
      </c>
      <c r="AI32" s="326">
        <f t="shared" ca="1" si="33"/>
        <v>0</v>
      </c>
    </row>
    <row r="33" spans="2:36" x14ac:dyDescent="0.25">
      <c r="B33" s="12" t="str">
        <f>IF('3. Calculator'!B34=0, "", '3. Calculator'!B34)</f>
        <v/>
      </c>
      <c r="C33" s="330" t="str">
        <f>IF('3. Calculator'!D34=0, "", '3. Calculator'!D34)</f>
        <v/>
      </c>
      <c r="D33" s="326" t="str">
        <f>IF('3. Calculator'!E34=0, "", '3. Calculator'!E34)</f>
        <v/>
      </c>
      <c r="E33" s="326">
        <f>IF('3. Calculator'!L34="", 1, IF('3. Calculator'!L34="Not applicable", 1, IF('3. Calculator'!L34="Lower", 1, VLOOKUP('3. Calculator'!E34, HVConversionValues,2,FALSE))))</f>
        <v>1</v>
      </c>
      <c r="F33" s="326" t="str">
        <f>IF('3. Calculator'!H34=0, "", '3. Calculator'!H34)</f>
        <v/>
      </c>
      <c r="G33" s="326" t="str">
        <f>IF('3. Calculator'!I34=0, "", '3. Calculator'!I34)</f>
        <v/>
      </c>
      <c r="H33" s="331" t="str">
        <f>IF('3. Calculator'!C34=0, "", '3. Calculator'!C34)</f>
        <v/>
      </c>
      <c r="I33" s="345" t="str">
        <f t="shared" si="17"/>
        <v/>
      </c>
      <c r="J33" s="326" t="str">
        <f ca="1">IF(ghostSpreadsheet_N2O!H33="","",VLOOKUP(D33, INDIRECT(I33), 2, FALSE))</f>
        <v/>
      </c>
      <c r="K33" s="415" t="str">
        <f>IF(ISNA(VLOOKUP('3. Calculator'!E34, fuelInfo, 4, FALSE)),"", (E33*VLOOKUP('3. Calculator'!E34, fuelInfo, 4, FALSE)))</f>
        <v/>
      </c>
      <c r="L33" s="382" t="str">
        <f>IF(ISNA(VLOOKUP('3. Calculator'!I34,unitStates,3,FALSE)), "", (VLOOKUP('3. Calculator'!I34,unitStates,3,FALSE)))</f>
        <v/>
      </c>
      <c r="M33" s="379" t="str">
        <f>IF(C33="My fuels", "", IF(L33=0, VLOOKUP('3. Calculator'!I34, energyEFs,3,FALSE),""))</f>
        <v/>
      </c>
      <c r="N33" s="428"/>
      <c r="O33" s="380" t="str">
        <f t="shared" si="18"/>
        <v/>
      </c>
      <c r="P33" s="379" t="str">
        <f>IF(C33="My fuels", "", IF(L33=1, VLOOKUP('3. Calculator'!I34, solidEFs,3,FALSE),""))</f>
        <v/>
      </c>
      <c r="Q33" s="380" t="str">
        <f t="shared" si="19"/>
        <v/>
      </c>
      <c r="R33" s="379" t="str">
        <f>IF(L33=2,IF(ISNA(VLOOKUP('3. Calculator'!C34,industryEFTableKeysN2O, 2,FALSE)), "", VLOOKUP('3. Calculator'!C34,industryEFTableKeysN2O, 2,FALSE)),"")</f>
        <v/>
      </c>
      <c r="S33" s="326" t="str">
        <f t="shared" ca="1" si="20"/>
        <v/>
      </c>
      <c r="T33" s="326" t="str">
        <f xml:space="preserve"> IF(ISNA(VLOOKUP('3. Calculator'!I34,unitStates,4, FALSE)), "", (VLOOKUP('3. Calculator'!I34,unitStates,4, FALSE)))</f>
        <v/>
      </c>
      <c r="U33" s="326" t="str">
        <f t="shared" si="21"/>
        <v/>
      </c>
      <c r="V33" s="326" t="str">
        <f t="shared" ca="1" si="22"/>
        <v/>
      </c>
      <c r="W33" s="326" t="str">
        <f t="shared" ca="1" si="23"/>
        <v/>
      </c>
      <c r="X33" s="380" t="str">
        <f t="shared" ca="1" si="24"/>
        <v/>
      </c>
      <c r="Y33" s="379" t="str">
        <f>IF(L33=3, IF(ISNA(VLOOKUP('3. Calculator'!C34,industryEFTableKeysN2O, 3,FALSE)), "", VLOOKUP('3. Calculator'!C34,industryEFTableKeysN2O, 3,FALSE)), "")</f>
        <v/>
      </c>
      <c r="Z33" s="326" t="str">
        <f t="shared" ca="1" si="25"/>
        <v/>
      </c>
      <c r="AA33" s="326" t="str">
        <f ca="1">+IF(Z33="", "", IF(ISNA(VLOOKUP('3. Calculator'!I34,unitStates,5, FALSE)), "", (VLOOKUP('3. Calculator'!I34,unitStates,5, FALSE))))</f>
        <v/>
      </c>
      <c r="AB33" s="326" t="str">
        <f t="shared" ca="1" si="26"/>
        <v/>
      </c>
      <c r="AC33" s="380" t="str">
        <f t="shared" ca="1" si="27"/>
        <v/>
      </c>
      <c r="AD33" s="345" t="str">
        <f t="shared" si="28"/>
        <v/>
      </c>
      <c r="AE33" s="345" t="str">
        <f t="shared" si="29"/>
        <v/>
      </c>
      <c r="AF33" s="326" t="str">
        <f t="shared" si="30"/>
        <v/>
      </c>
      <c r="AG33" s="326" t="str">
        <f t="shared" si="31"/>
        <v/>
      </c>
      <c r="AH33" s="326" t="str">
        <f t="shared" si="32"/>
        <v/>
      </c>
      <c r="AI33" s="326">
        <f t="shared" ca="1" si="33"/>
        <v>0</v>
      </c>
    </row>
    <row r="34" spans="2:36" ht="13.8" thickBot="1" x14ac:dyDescent="0.3">
      <c r="B34" s="12" t="str">
        <f>IF('3. Calculator'!B35=0, "", '3. Calculator'!B35)</f>
        <v/>
      </c>
      <c r="C34" s="330" t="str">
        <f>IF('3. Calculator'!D35=0, "", '3. Calculator'!D35)</f>
        <v/>
      </c>
      <c r="D34" s="326" t="str">
        <f>IF('3. Calculator'!E35=0, "", '3. Calculator'!E35)</f>
        <v/>
      </c>
      <c r="E34" s="326">
        <f>IF('3. Calculator'!L35="", 1, IF('3. Calculator'!L35="Not applicable", 1, IF('3. Calculator'!L35="Lower", 1, VLOOKUP('3. Calculator'!E35, HVConversionValues,2,FALSE))))</f>
        <v>1</v>
      </c>
      <c r="F34" s="326" t="str">
        <f>IF('3. Calculator'!H35=0, "", '3. Calculator'!H35)</f>
        <v/>
      </c>
      <c r="G34" s="326" t="str">
        <f>IF('3. Calculator'!I35=0, "", '3. Calculator'!I35)</f>
        <v/>
      </c>
      <c r="H34" s="331" t="str">
        <f>IF('3. Calculator'!C35=0, "", '3. Calculator'!C35)</f>
        <v/>
      </c>
      <c r="I34" s="345" t="str">
        <f t="shared" si="17"/>
        <v/>
      </c>
      <c r="J34" s="326" t="str">
        <f ca="1">IF(ghostSpreadsheet_N2O!H34="","",VLOOKUP(D34, INDIRECT(I34), 2, FALSE))</f>
        <v/>
      </c>
      <c r="K34" s="415" t="str">
        <f>IF(ISNA(VLOOKUP('3. Calculator'!E35, fuelInfo, 4, FALSE)),"", (E34*VLOOKUP('3. Calculator'!E35, fuelInfo, 4, FALSE)))</f>
        <v/>
      </c>
      <c r="L34" s="382" t="str">
        <f>IF(ISNA(VLOOKUP('3. Calculator'!I35,unitStates,3,FALSE)), "", (VLOOKUP('3. Calculator'!I35,unitStates,3,FALSE)))</f>
        <v/>
      </c>
      <c r="M34" s="379" t="str">
        <f>IF(C34="My fuels", "", IF(L34=0, VLOOKUP('3. Calculator'!I35, energyEFs,3,FALSE),""))</f>
        <v/>
      </c>
      <c r="N34" s="428"/>
      <c r="O34" s="380" t="str">
        <f t="shared" si="18"/>
        <v/>
      </c>
      <c r="P34" s="379" t="str">
        <f>IF(C34="My fuels", "", IF(L34=1, VLOOKUP('3. Calculator'!I35, solidEFs,3,FALSE),""))</f>
        <v/>
      </c>
      <c r="Q34" s="380" t="str">
        <f t="shared" si="19"/>
        <v/>
      </c>
      <c r="R34" s="379" t="str">
        <f>IF(L34=2,IF(ISNA(VLOOKUP('3. Calculator'!C35,industryEFTableKeysN2O, 2,FALSE)), "", VLOOKUP('3. Calculator'!C35,industryEFTableKeysN2O, 2,FALSE)),"")</f>
        <v/>
      </c>
      <c r="S34" s="326" t="str">
        <f t="shared" ca="1" si="20"/>
        <v/>
      </c>
      <c r="T34" s="326" t="str">
        <f xml:space="preserve"> IF(ISNA(VLOOKUP('3. Calculator'!I35,unitStates,4, FALSE)), "", (VLOOKUP('3. Calculator'!I35,unitStates,4, FALSE)))</f>
        <v/>
      </c>
      <c r="U34" s="326" t="str">
        <f t="shared" si="21"/>
        <v/>
      </c>
      <c r="V34" s="326" t="str">
        <f t="shared" ca="1" si="22"/>
        <v/>
      </c>
      <c r="W34" s="326" t="str">
        <f t="shared" ca="1" si="23"/>
        <v/>
      </c>
      <c r="X34" s="380" t="str">
        <f t="shared" ca="1" si="24"/>
        <v/>
      </c>
      <c r="Y34" s="379" t="str">
        <f>IF(L34=3, IF(ISNA(VLOOKUP('3. Calculator'!C35,industryEFTableKeysN2O, 3,FALSE)), "", VLOOKUP('3. Calculator'!C35,industryEFTableKeysN2O, 3,FALSE)), "")</f>
        <v/>
      </c>
      <c r="Z34" s="326" t="str">
        <f t="shared" ca="1" si="25"/>
        <v/>
      </c>
      <c r="AA34" s="326" t="str">
        <f ca="1">+IF(Z34="", "", IF(ISNA(VLOOKUP('3. Calculator'!I35,unitStates,5, FALSE)), "", (VLOOKUP('3. Calculator'!I35,unitStates,5, FALSE))))</f>
        <v/>
      </c>
      <c r="AB34" s="326" t="str">
        <f t="shared" ca="1" si="26"/>
        <v/>
      </c>
      <c r="AC34" s="380" t="str">
        <f t="shared" ca="1" si="27"/>
        <v/>
      </c>
      <c r="AD34" s="345" t="str">
        <f t="shared" si="28"/>
        <v/>
      </c>
      <c r="AE34" s="345" t="str">
        <f t="shared" si="29"/>
        <v/>
      </c>
      <c r="AF34" s="326" t="str">
        <f t="shared" si="30"/>
        <v/>
      </c>
      <c r="AG34" s="326" t="str">
        <f t="shared" si="31"/>
        <v/>
      </c>
      <c r="AH34" s="326" t="str">
        <f t="shared" si="32"/>
        <v/>
      </c>
      <c r="AI34" s="326">
        <f t="shared" ca="1" si="33"/>
        <v>0</v>
      </c>
    </row>
    <row r="35" spans="2:36" ht="14.4" thickTop="1" thickBot="1" x14ac:dyDescent="0.3">
      <c r="B35" s="2"/>
      <c r="C35" s="386" t="s">
        <v>717</v>
      </c>
      <c r="D35" s="57"/>
      <c r="E35" s="57"/>
      <c r="F35" s="57"/>
      <c r="G35" s="57"/>
      <c r="H35" s="57"/>
      <c r="I35" s="57"/>
      <c r="J35" s="57"/>
      <c r="K35" s="57"/>
      <c r="L35" s="96"/>
      <c r="M35" s="57"/>
      <c r="N35" s="57"/>
      <c r="O35" s="383">
        <f>SUM(O10:O34)</f>
        <v>0</v>
      </c>
      <c r="P35" s="384"/>
      <c r="Q35" s="383">
        <f>SUM(Q10:Q34)</f>
        <v>0</v>
      </c>
      <c r="R35" s="384"/>
      <c r="X35" s="383">
        <f ca="1">SUM(X10:X34)</f>
        <v>0</v>
      </c>
      <c r="AC35" s="383">
        <f ca="1">SUM(AC10:AC34)</f>
        <v>0</v>
      </c>
      <c r="AD35" s="93"/>
      <c r="AE35" s="93"/>
      <c r="AF35" s="93"/>
      <c r="AG35" s="93"/>
      <c r="AH35" s="94">
        <f>SUM(AH10:AH34)</f>
        <v>0</v>
      </c>
      <c r="AI35" s="95">
        <f ca="1">SUM(AI10:AI34)</f>
        <v>0</v>
      </c>
      <c r="AJ35" s="52"/>
    </row>
    <row r="36" spans="2:36" ht="13.8" thickBot="1" x14ac:dyDescent="0.3">
      <c r="B36" s="15"/>
      <c r="C36" s="385" t="s">
        <v>370</v>
      </c>
      <c r="D36" s="20"/>
      <c r="E36" s="20"/>
      <c r="F36" s="20"/>
      <c r="G36" s="16">
        <f ca="1">SUM(O35,Q35,X35,AC35,AH35)</f>
        <v>0</v>
      </c>
      <c r="H36" s="20"/>
      <c r="I36" s="20"/>
      <c r="J36" s="20"/>
      <c r="K36" s="20"/>
      <c r="L36" s="14"/>
      <c r="M36" s="20"/>
      <c r="N36" s="20"/>
      <c r="O36" s="20"/>
      <c r="P36" s="20"/>
      <c r="Q36" s="20"/>
      <c r="R36" s="20"/>
      <c r="S36" s="20"/>
      <c r="T36" s="20"/>
      <c r="U36" s="20"/>
      <c r="V36" s="20"/>
      <c r="W36" s="20"/>
      <c r="X36" s="20"/>
      <c r="Y36" s="20"/>
      <c r="Z36" s="20"/>
      <c r="AA36" s="20"/>
      <c r="AB36" s="20"/>
      <c r="AC36" s="20"/>
      <c r="AD36" s="20"/>
      <c r="AE36" s="20"/>
      <c r="AF36" s="20"/>
      <c r="AG36" s="20"/>
      <c r="AH36" s="20"/>
      <c r="AI36" s="14"/>
    </row>
    <row r="37" spans="2:36" ht="16.2" thickBot="1" x14ac:dyDescent="0.4">
      <c r="B37" s="15"/>
      <c r="C37" s="385" t="s">
        <v>720</v>
      </c>
      <c r="D37" s="20"/>
      <c r="E37" s="20"/>
      <c r="F37" s="20"/>
      <c r="G37" s="16">
        <f ca="1">G36*VLOOKUP('2. Settings'!$C$7,GWPTable,4,FALSE)</f>
        <v>0</v>
      </c>
      <c r="H37" s="20"/>
      <c r="I37" s="20"/>
      <c r="J37" s="20"/>
      <c r="K37" s="20"/>
      <c r="L37" s="14"/>
    </row>
  </sheetData>
  <mergeCells count="10">
    <mergeCell ref="AI8:AI9"/>
    <mergeCell ref="B2:P2"/>
    <mergeCell ref="B3:P3"/>
    <mergeCell ref="AD8:AH8"/>
    <mergeCell ref="Y8:AC8"/>
    <mergeCell ref="J8:L8"/>
    <mergeCell ref="B8:H8"/>
    <mergeCell ref="R8:X8"/>
    <mergeCell ref="M8:O8"/>
    <mergeCell ref="P8:Q8"/>
  </mergeCells>
  <phoneticPr fontId="3" type="noConversion"/>
  <pageMargins left="0.75" right="0.75" top="1" bottom="1" header="0.5" footer="0.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AX624"/>
  <sheetViews>
    <sheetView topLeftCell="A21" workbookViewId="0">
      <selection sqref="A1:I1"/>
    </sheetView>
  </sheetViews>
  <sheetFormatPr defaultRowHeight="17.399999999999999" x14ac:dyDescent="0.3"/>
  <cols>
    <col min="2" max="2" width="52" customWidth="1"/>
    <col min="3" max="3" width="35.88671875" customWidth="1"/>
    <col min="4" max="4" width="34.33203125" customWidth="1"/>
    <col min="5" max="5" width="45.44140625" style="68" bestFit="1" customWidth="1"/>
    <col min="6" max="6" width="27.5546875" customWidth="1"/>
    <col min="8" max="8" width="15.88671875" customWidth="1"/>
    <col min="9" max="9" width="15.109375" customWidth="1"/>
  </cols>
  <sheetData>
    <row r="1" spans="1:44" ht="25.5" customHeight="1" x14ac:dyDescent="0.25">
      <c r="A1" s="754" t="s">
        <v>135</v>
      </c>
      <c r="B1" s="754"/>
      <c r="C1" s="754"/>
      <c r="D1" s="754"/>
      <c r="E1" s="754"/>
      <c r="F1" s="754"/>
      <c r="G1" s="754"/>
      <c r="H1" s="754"/>
      <c r="I1" s="754"/>
    </row>
    <row r="2" spans="1:44" x14ac:dyDescent="0.3">
      <c r="A2" s="24"/>
      <c r="B2" s="24"/>
      <c r="C2" s="24"/>
      <c r="D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row>
    <row r="3" spans="1:44" ht="18" thickBot="1" x14ac:dyDescent="0.35">
      <c r="B3" s="24" t="s">
        <v>149</v>
      </c>
      <c r="C3" s="24"/>
      <c r="D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row>
    <row r="4" spans="1:44" ht="18" thickBot="1" x14ac:dyDescent="0.35">
      <c r="A4" s="24"/>
      <c r="B4" s="80" t="s">
        <v>150</v>
      </c>
      <c r="C4" s="81"/>
      <c r="D4" s="82" t="s">
        <v>137</v>
      </c>
      <c r="F4" s="98" t="s">
        <v>357</v>
      </c>
      <c r="G4" s="24"/>
      <c r="H4" s="69" t="s">
        <v>354</v>
      </c>
      <c r="I4" s="24"/>
      <c r="J4" s="58" t="s">
        <v>358</v>
      </c>
      <c r="K4" s="69" t="s">
        <v>357</v>
      </c>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row>
    <row r="5" spans="1:44" ht="18" thickBot="1" x14ac:dyDescent="0.35">
      <c r="A5" s="24"/>
      <c r="B5" s="25" t="s">
        <v>151</v>
      </c>
      <c r="C5" s="24"/>
      <c r="D5" s="26">
        <v>1</v>
      </c>
      <c r="F5" s="99" t="s">
        <v>358</v>
      </c>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row>
    <row r="6" spans="1:44" ht="18" thickBot="1" x14ac:dyDescent="0.35">
      <c r="A6" s="24"/>
      <c r="B6" s="27" t="s">
        <v>152</v>
      </c>
      <c r="C6" s="35"/>
      <c r="D6" s="28">
        <v>2</v>
      </c>
      <c r="F6" s="24" t="s">
        <v>355</v>
      </c>
      <c r="G6" s="24"/>
      <c r="H6" s="24"/>
      <c r="I6" s="24"/>
      <c r="J6" s="97" t="s">
        <v>359</v>
      </c>
      <c r="K6" s="97" t="s">
        <v>360</v>
      </c>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row>
    <row r="7" spans="1:44" x14ac:dyDescent="0.3">
      <c r="A7" s="24"/>
      <c r="B7" s="24" t="s">
        <v>153</v>
      </c>
      <c r="C7" s="24"/>
      <c r="D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row>
    <row r="8" spans="1:44" x14ac:dyDescent="0.3">
      <c r="A8" s="24"/>
      <c r="B8" s="24" t="s">
        <v>154</v>
      </c>
      <c r="C8" s="24"/>
      <c r="D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row>
    <row r="9" spans="1:44" x14ac:dyDescent="0.3">
      <c r="A9" s="24"/>
      <c r="B9" s="24"/>
      <c r="C9" s="24"/>
      <c r="D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row>
    <row r="10" spans="1:44" ht="18" thickBot="1" x14ac:dyDescent="0.35">
      <c r="B10" s="24" t="s">
        <v>731</v>
      </c>
      <c r="C10" s="24"/>
      <c r="D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row>
    <row r="11" spans="1:44" ht="18" thickBot="1" x14ac:dyDescent="0.35">
      <c r="A11" s="24"/>
      <c r="B11" s="76" t="s">
        <v>136</v>
      </c>
      <c r="C11" s="140"/>
      <c r="D11" s="79" t="s">
        <v>137</v>
      </c>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row>
    <row r="12" spans="1:44" x14ac:dyDescent="0.3">
      <c r="A12" s="24"/>
      <c r="B12" s="25" t="s">
        <v>155</v>
      </c>
      <c r="C12" s="84"/>
      <c r="D12" s="26"/>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row>
    <row r="13" spans="1:44" x14ac:dyDescent="0.3">
      <c r="A13" s="24"/>
      <c r="B13" s="25" t="s">
        <v>43</v>
      </c>
      <c r="C13" s="41" t="s">
        <v>43</v>
      </c>
      <c r="D13" s="26">
        <v>1</v>
      </c>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row>
    <row r="14" spans="1:44" x14ac:dyDescent="0.3">
      <c r="A14" s="24"/>
      <c r="B14" s="25" t="s">
        <v>125</v>
      </c>
      <c r="C14" s="41" t="s">
        <v>125</v>
      </c>
      <c r="D14" s="26">
        <v>2</v>
      </c>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row>
    <row r="15" spans="1:44" x14ac:dyDescent="0.3">
      <c r="A15" s="24"/>
      <c r="B15" s="25" t="s">
        <v>134</v>
      </c>
      <c r="C15" s="41" t="s">
        <v>134</v>
      </c>
      <c r="D15" s="26">
        <v>3</v>
      </c>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row>
    <row r="16" spans="1:44" x14ac:dyDescent="0.3">
      <c r="A16" s="24"/>
      <c r="B16" s="25" t="s">
        <v>126</v>
      </c>
      <c r="C16" s="41" t="s">
        <v>126</v>
      </c>
      <c r="D16" s="26">
        <v>4</v>
      </c>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row>
    <row r="17" spans="1:44" x14ac:dyDescent="0.3">
      <c r="A17" s="24"/>
      <c r="B17" s="25" t="s">
        <v>127</v>
      </c>
      <c r="C17" s="41" t="s">
        <v>127</v>
      </c>
      <c r="D17" s="26">
        <v>5</v>
      </c>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row>
    <row r="18" spans="1:44" x14ac:dyDescent="0.3">
      <c r="A18" s="24"/>
      <c r="B18" s="25" t="s">
        <v>128</v>
      </c>
      <c r="C18" s="41" t="s">
        <v>128</v>
      </c>
      <c r="D18" s="26">
        <v>6</v>
      </c>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row>
    <row r="19" spans="1:44" x14ac:dyDescent="0.3">
      <c r="A19" s="24"/>
      <c r="B19" s="25" t="s">
        <v>129</v>
      </c>
      <c r="C19" s="41" t="s">
        <v>129</v>
      </c>
      <c r="D19" s="26">
        <v>7</v>
      </c>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row>
    <row r="20" spans="1:44" x14ac:dyDescent="0.3">
      <c r="A20" s="24"/>
      <c r="B20" s="25" t="s">
        <v>130</v>
      </c>
      <c r="C20" s="41" t="s">
        <v>130</v>
      </c>
      <c r="D20" s="26">
        <v>8</v>
      </c>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row>
    <row r="21" spans="1:44" ht="18" thickBot="1" x14ac:dyDescent="0.35">
      <c r="A21" s="24"/>
      <c r="B21" s="27" t="s">
        <v>131</v>
      </c>
      <c r="C21" s="59" t="s">
        <v>131</v>
      </c>
      <c r="D21" s="28">
        <v>9</v>
      </c>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row>
    <row r="22" spans="1:44" x14ac:dyDescent="0.3">
      <c r="A22" s="24"/>
      <c r="B22" s="24" t="s">
        <v>132</v>
      </c>
      <c r="C22" s="24"/>
      <c r="D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row>
    <row r="23" spans="1:44" x14ac:dyDescent="0.3">
      <c r="A23" s="24"/>
      <c r="B23" s="24" t="s">
        <v>133</v>
      </c>
      <c r="C23" s="24"/>
      <c r="D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row>
    <row r="24" spans="1:44" x14ac:dyDescent="0.3">
      <c r="A24" s="24"/>
      <c r="B24" s="24"/>
      <c r="C24" s="24"/>
      <c r="D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row>
    <row r="25" spans="1:44" ht="18" thickBot="1" x14ac:dyDescent="0.35">
      <c r="B25" s="24" t="s">
        <v>165</v>
      </c>
      <c r="C25" s="24"/>
      <c r="D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row>
    <row r="26" spans="1:44" ht="18.75" customHeight="1" thickBot="1" x14ac:dyDescent="0.35">
      <c r="A26" s="24"/>
      <c r="B26" s="76" t="s">
        <v>21</v>
      </c>
      <c r="C26" s="79" t="s">
        <v>166</v>
      </c>
      <c r="D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row>
    <row r="27" spans="1:44" x14ac:dyDescent="0.3">
      <c r="A27" s="24"/>
      <c r="B27" s="755" t="s">
        <v>167</v>
      </c>
      <c r="C27" s="756"/>
      <c r="D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row>
    <row r="28" spans="1:44" ht="18.75" customHeight="1" x14ac:dyDescent="0.3">
      <c r="A28" s="24"/>
      <c r="B28" s="25" t="s">
        <v>87</v>
      </c>
      <c r="C28" s="26">
        <v>0.87</v>
      </c>
      <c r="D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row>
    <row r="29" spans="1:44" x14ac:dyDescent="0.3">
      <c r="A29" s="24"/>
      <c r="B29" s="25" t="s">
        <v>88</v>
      </c>
      <c r="C29" s="26">
        <v>0.75</v>
      </c>
      <c r="D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row>
    <row r="30" spans="1:44" x14ac:dyDescent="0.3">
      <c r="A30" s="24"/>
      <c r="B30" s="25" t="s">
        <v>89</v>
      </c>
      <c r="C30" s="26">
        <v>0.7</v>
      </c>
      <c r="D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row>
    <row r="31" spans="1:44" x14ac:dyDescent="0.3">
      <c r="A31" s="24"/>
      <c r="B31" s="25" t="s">
        <v>90</v>
      </c>
      <c r="C31" s="26">
        <v>0.82</v>
      </c>
      <c r="D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row>
    <row r="32" spans="1:44" x14ac:dyDescent="0.3">
      <c r="A32" s="24"/>
      <c r="B32" s="25" t="s">
        <v>91</v>
      </c>
      <c r="C32" s="26">
        <v>0.85</v>
      </c>
      <c r="D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row>
    <row r="33" spans="1:44" x14ac:dyDescent="0.3">
      <c r="A33" s="24"/>
      <c r="B33" s="25" t="s">
        <v>92</v>
      </c>
      <c r="C33" s="26">
        <v>1</v>
      </c>
      <c r="D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row>
    <row r="34" spans="1:44" x14ac:dyDescent="0.3">
      <c r="A34" s="24"/>
      <c r="B34" s="25" t="s">
        <v>93</v>
      </c>
      <c r="C34" s="26">
        <v>0.91</v>
      </c>
      <c r="D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row>
    <row r="35" spans="1:44" x14ac:dyDescent="0.3">
      <c r="A35" s="24"/>
      <c r="B35" s="25" t="s">
        <v>94</v>
      </c>
      <c r="C35" s="26">
        <v>0.96</v>
      </c>
      <c r="D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row>
    <row r="36" spans="1:44" x14ac:dyDescent="0.3">
      <c r="A36" s="24"/>
      <c r="B36" s="25" t="s">
        <v>95</v>
      </c>
      <c r="C36" s="26">
        <v>0.49</v>
      </c>
      <c r="D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row>
    <row r="37" spans="1:44" x14ac:dyDescent="0.3">
      <c r="A37" s="24"/>
      <c r="B37" s="25" t="s">
        <v>24</v>
      </c>
      <c r="C37" s="26">
        <v>0.73</v>
      </c>
      <c r="D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row>
    <row r="38" spans="1:44" x14ac:dyDescent="0.3">
      <c r="A38" s="24"/>
      <c r="B38" s="25" t="s">
        <v>26</v>
      </c>
      <c r="C38" s="26">
        <v>0.9</v>
      </c>
      <c r="D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row>
    <row r="39" spans="1:44" x14ac:dyDescent="0.3">
      <c r="A39" s="24"/>
      <c r="B39" s="757" t="s">
        <v>170</v>
      </c>
      <c r="C39" s="758"/>
      <c r="D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row>
    <row r="40" spans="1:44" x14ac:dyDescent="0.3">
      <c r="A40" s="24"/>
      <c r="B40" s="25" t="s">
        <v>96</v>
      </c>
      <c r="C40" s="142">
        <v>0.9</v>
      </c>
      <c r="D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row>
    <row r="41" spans="1:44" x14ac:dyDescent="0.3">
      <c r="A41" s="24"/>
      <c r="B41" s="25" t="s">
        <v>23</v>
      </c>
      <c r="C41" s="142">
        <v>1.3</v>
      </c>
      <c r="D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row>
    <row r="42" spans="1:44" ht="18" thickBot="1" x14ac:dyDescent="0.35">
      <c r="A42" s="24"/>
      <c r="B42" s="27" t="s">
        <v>117</v>
      </c>
      <c r="C42" s="143">
        <v>0.7</v>
      </c>
      <c r="D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row>
    <row r="43" spans="1:44" ht="211.5" customHeight="1" x14ac:dyDescent="0.3">
      <c r="A43" s="24"/>
      <c r="B43" s="765" t="s">
        <v>611</v>
      </c>
      <c r="C43" s="765"/>
      <c r="D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row>
    <row r="44" spans="1:44" x14ac:dyDescent="0.3">
      <c r="A44" s="24"/>
      <c r="B44" s="24"/>
      <c r="C44" s="24"/>
      <c r="D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row>
    <row r="45" spans="1:44" ht="18" thickBot="1" x14ac:dyDescent="0.35">
      <c r="B45" s="62" t="s">
        <v>299</v>
      </c>
      <c r="C45" s="24"/>
      <c r="D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row>
    <row r="46" spans="1:44" ht="16.2" thickBot="1" x14ac:dyDescent="0.35">
      <c r="A46" s="24"/>
      <c r="B46" s="61" t="s">
        <v>21</v>
      </c>
      <c r="C46" s="762" t="s">
        <v>300</v>
      </c>
      <c r="D46" s="763"/>
      <c r="E46" s="763"/>
      <c r="F46" s="76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row>
    <row r="47" spans="1:44" ht="65.25" customHeight="1" x14ac:dyDescent="0.25">
      <c r="A47" s="24"/>
      <c r="B47" s="41" t="s">
        <v>27</v>
      </c>
      <c r="C47" s="759" t="s">
        <v>15</v>
      </c>
      <c r="D47" s="760"/>
      <c r="E47" s="760"/>
      <c r="F47" s="761"/>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row>
    <row r="48" spans="1:44" ht="84" customHeight="1" x14ac:dyDescent="0.25">
      <c r="A48" s="24"/>
      <c r="B48" s="41" t="s">
        <v>399</v>
      </c>
      <c r="C48" s="597" t="s">
        <v>305</v>
      </c>
      <c r="D48" s="606"/>
      <c r="E48" s="606"/>
      <c r="F48" s="753"/>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row>
    <row r="49" spans="1:44" ht="84" customHeight="1" x14ac:dyDescent="0.25">
      <c r="A49" s="24"/>
      <c r="B49" s="41" t="s">
        <v>32</v>
      </c>
      <c r="C49" s="597" t="s">
        <v>4</v>
      </c>
      <c r="D49" s="606"/>
      <c r="E49" s="606"/>
      <c r="F49" s="753"/>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row>
    <row r="50" spans="1:44" ht="84" customHeight="1" x14ac:dyDescent="0.25">
      <c r="A50" s="24"/>
      <c r="B50" s="41" t="s">
        <v>31</v>
      </c>
      <c r="C50" s="597" t="s">
        <v>3</v>
      </c>
      <c r="D50" s="606"/>
      <c r="E50" s="606"/>
      <c r="F50" s="753"/>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row>
    <row r="51" spans="1:44" ht="84" customHeight="1" x14ac:dyDescent="0.25">
      <c r="A51" s="24"/>
      <c r="B51" s="41" t="s">
        <v>417</v>
      </c>
      <c r="C51" s="597" t="s">
        <v>0</v>
      </c>
      <c r="D51" s="606"/>
      <c r="E51" s="606"/>
      <c r="F51" s="753"/>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row>
    <row r="52" spans="1:44" ht="60.75" customHeight="1" x14ac:dyDescent="0.25">
      <c r="A52" s="24"/>
      <c r="B52" s="41" t="s">
        <v>373</v>
      </c>
      <c r="C52" s="597" t="s">
        <v>374</v>
      </c>
      <c r="D52" s="606"/>
      <c r="E52" s="606"/>
      <c r="F52" s="753"/>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row>
    <row r="53" spans="1:44" ht="63.75" customHeight="1" x14ac:dyDescent="0.25">
      <c r="A53" s="24"/>
      <c r="B53" s="41" t="s">
        <v>390</v>
      </c>
      <c r="C53" s="597" t="s">
        <v>19</v>
      </c>
      <c r="D53" s="606"/>
      <c r="E53" s="606"/>
      <c r="F53" s="753"/>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row>
    <row r="54" spans="1:44" ht="48.75" customHeight="1" x14ac:dyDescent="0.25">
      <c r="A54" s="24"/>
      <c r="B54" s="41" t="s">
        <v>30</v>
      </c>
      <c r="C54" s="597" t="s">
        <v>367</v>
      </c>
      <c r="D54" s="606"/>
      <c r="E54" s="606"/>
      <c r="F54" s="753"/>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row>
    <row r="55" spans="1:44" ht="15" x14ac:dyDescent="0.25">
      <c r="A55" s="24"/>
      <c r="B55" s="41" t="s">
        <v>377</v>
      </c>
      <c r="C55" s="597" t="s">
        <v>363</v>
      </c>
      <c r="D55" s="606"/>
      <c r="E55" s="606"/>
      <c r="F55" s="753"/>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row>
    <row r="56" spans="1:44" ht="29.25" customHeight="1" x14ac:dyDescent="0.25">
      <c r="A56" s="24"/>
      <c r="B56" s="41" t="s">
        <v>380</v>
      </c>
      <c r="C56" s="597" t="s">
        <v>362</v>
      </c>
      <c r="D56" s="606"/>
      <c r="E56" s="606"/>
      <c r="F56" s="753"/>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row>
    <row r="57" spans="1:44" ht="29.25" customHeight="1" x14ac:dyDescent="0.25">
      <c r="A57" s="24"/>
      <c r="B57" s="41" t="s">
        <v>416</v>
      </c>
      <c r="C57" s="597" t="s">
        <v>584</v>
      </c>
      <c r="D57" s="606"/>
      <c r="E57" s="606"/>
      <c r="F57" s="753"/>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row>
    <row r="58" spans="1:44" ht="58.5" customHeight="1" x14ac:dyDescent="0.25">
      <c r="A58" s="24"/>
      <c r="B58" s="41" t="s">
        <v>387</v>
      </c>
      <c r="C58" s="597" t="s">
        <v>16</v>
      </c>
      <c r="D58" s="606"/>
      <c r="E58" s="606"/>
      <c r="F58" s="753"/>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row>
    <row r="59" spans="1:44" ht="66.75" customHeight="1" x14ac:dyDescent="0.25">
      <c r="A59" s="24"/>
      <c r="B59" s="41" t="s">
        <v>397</v>
      </c>
      <c r="C59" s="597" t="s">
        <v>301</v>
      </c>
      <c r="D59" s="606"/>
      <c r="E59" s="606"/>
      <c r="F59" s="753"/>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row>
    <row r="60" spans="1:44" ht="39.75" customHeight="1" x14ac:dyDescent="0.25">
      <c r="A60" s="24"/>
      <c r="B60" s="41" t="s">
        <v>23</v>
      </c>
      <c r="C60" s="597" t="s">
        <v>12</v>
      </c>
      <c r="D60" s="606"/>
      <c r="E60" s="606"/>
      <c r="F60" s="753"/>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row>
    <row r="61" spans="1:44" ht="71.25" customHeight="1" x14ac:dyDescent="0.25">
      <c r="A61" s="24"/>
      <c r="B61" s="41" t="s">
        <v>384</v>
      </c>
      <c r="C61" s="597" t="s">
        <v>439</v>
      </c>
      <c r="D61" s="606"/>
      <c r="E61" s="606"/>
      <c r="F61" s="753"/>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row>
    <row r="62" spans="1:44" ht="71.25" customHeight="1" x14ac:dyDescent="0.25">
      <c r="A62" s="24"/>
      <c r="B62" s="41" t="s">
        <v>415</v>
      </c>
      <c r="C62" s="597" t="s">
        <v>583</v>
      </c>
      <c r="D62" s="606"/>
      <c r="E62" s="606"/>
      <c r="F62" s="753"/>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row>
    <row r="63" spans="1:44" ht="71.25" customHeight="1" x14ac:dyDescent="0.25">
      <c r="A63" s="24"/>
      <c r="B63" s="41" t="s">
        <v>425</v>
      </c>
      <c r="C63" s="597" t="s">
        <v>578</v>
      </c>
      <c r="D63" s="606"/>
      <c r="E63" s="606"/>
      <c r="F63" s="753"/>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row>
    <row r="64" spans="1:44" ht="67.5" customHeight="1" x14ac:dyDescent="0.25">
      <c r="A64" s="24"/>
      <c r="B64" s="41" t="s">
        <v>400</v>
      </c>
      <c r="C64" s="597" t="s">
        <v>306</v>
      </c>
      <c r="D64" s="606"/>
      <c r="E64" s="606"/>
      <c r="F64" s="753"/>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row>
    <row r="65" spans="1:44" ht="60.75" customHeight="1" x14ac:dyDescent="0.25">
      <c r="A65" s="24"/>
      <c r="B65" s="41" t="s">
        <v>395</v>
      </c>
      <c r="C65" s="597" t="s">
        <v>371</v>
      </c>
      <c r="D65" s="606"/>
      <c r="E65" s="606"/>
      <c r="F65" s="753"/>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row>
    <row r="66" spans="1:44" ht="45.75" customHeight="1" x14ac:dyDescent="0.25">
      <c r="A66" s="24"/>
      <c r="B66" s="41" t="s">
        <v>28</v>
      </c>
      <c r="C66" s="597" t="s">
        <v>375</v>
      </c>
      <c r="D66" s="606"/>
      <c r="E66" s="606"/>
      <c r="F66" s="753"/>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row>
    <row r="67" spans="1:44" ht="64.5" customHeight="1" x14ac:dyDescent="0.25">
      <c r="A67" s="24"/>
      <c r="B67" s="41" t="s">
        <v>392</v>
      </c>
      <c r="C67" s="597" t="s">
        <v>363</v>
      </c>
      <c r="D67" s="606"/>
      <c r="E67" s="606"/>
      <c r="F67" s="753"/>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row>
    <row r="68" spans="1:44" ht="34.5" customHeight="1" x14ac:dyDescent="0.25">
      <c r="A68" s="24"/>
      <c r="B68" s="41" t="s">
        <v>386</v>
      </c>
      <c r="C68" s="597" t="s">
        <v>361</v>
      </c>
      <c r="D68" s="606"/>
      <c r="E68" s="606"/>
      <c r="F68" s="753"/>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row>
    <row r="69" spans="1:44" ht="33" customHeight="1" x14ac:dyDescent="0.25">
      <c r="A69" s="24"/>
      <c r="B69" s="41" t="s">
        <v>26</v>
      </c>
      <c r="C69" s="597" t="s">
        <v>14</v>
      </c>
      <c r="D69" s="606"/>
      <c r="E69" s="606"/>
      <c r="F69" s="753"/>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row>
    <row r="70" spans="1:44" ht="33" customHeight="1" x14ac:dyDescent="0.25">
      <c r="A70" s="24"/>
      <c r="B70" s="41" t="s">
        <v>378</v>
      </c>
      <c r="C70" s="597" t="s">
        <v>363</v>
      </c>
      <c r="D70" s="606"/>
      <c r="E70" s="606"/>
      <c r="F70" s="753"/>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row>
    <row r="71" spans="1:44" ht="47.25" customHeight="1" x14ac:dyDescent="0.25">
      <c r="A71" s="24"/>
      <c r="B71" s="41" t="s">
        <v>398</v>
      </c>
      <c r="C71" s="597" t="s">
        <v>304</v>
      </c>
      <c r="D71" s="606"/>
      <c r="E71" s="606"/>
      <c r="F71" s="753"/>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row>
    <row r="72" spans="1:44" ht="64.5" customHeight="1" x14ac:dyDescent="0.25">
      <c r="A72" s="24"/>
      <c r="B72" s="41" t="s">
        <v>402</v>
      </c>
      <c r="C72" s="597" t="s">
        <v>365</v>
      </c>
      <c r="D72" s="606"/>
      <c r="E72" s="606"/>
      <c r="F72" s="753"/>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row>
    <row r="73" spans="1:44" ht="68.25" customHeight="1" x14ac:dyDescent="0.25">
      <c r="A73" s="24"/>
      <c r="B73" s="41" t="s">
        <v>396</v>
      </c>
      <c r="C73" s="597" t="s">
        <v>372</v>
      </c>
      <c r="D73" s="606"/>
      <c r="E73" s="606"/>
      <c r="F73" s="753"/>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row>
    <row r="74" spans="1:44" ht="87.75" customHeight="1" x14ac:dyDescent="0.25">
      <c r="A74" s="24"/>
      <c r="B74" s="41" t="s">
        <v>24</v>
      </c>
      <c r="C74" s="597" t="s">
        <v>13</v>
      </c>
      <c r="D74" s="606"/>
      <c r="E74" s="606"/>
      <c r="F74" s="753"/>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row>
    <row r="75" spans="1:44" ht="69" customHeight="1" x14ac:dyDescent="0.25">
      <c r="A75" s="24"/>
      <c r="B75" s="41" t="s">
        <v>393</v>
      </c>
      <c r="C75" s="597" t="s">
        <v>74</v>
      </c>
      <c r="D75" s="606"/>
      <c r="E75" s="606"/>
      <c r="F75" s="753"/>
      <c r="G75" s="24"/>
      <c r="H75" s="24"/>
      <c r="I75" s="24"/>
      <c r="J75" s="24"/>
      <c r="K75" s="24"/>
      <c r="L75" s="24"/>
      <c r="M75" s="24"/>
      <c r="N75" s="24"/>
      <c r="O75" s="24"/>
      <c r="P75" s="24"/>
      <c r="Q75" s="24"/>
      <c r="R75" s="24"/>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row>
    <row r="76" spans="1:44" ht="43.5" customHeight="1" x14ac:dyDescent="0.25">
      <c r="A76" s="24"/>
      <c r="B76" s="41" t="s">
        <v>406</v>
      </c>
      <c r="C76" s="597" t="s">
        <v>512</v>
      </c>
      <c r="D76" s="606"/>
      <c r="E76" s="606"/>
      <c r="F76" s="753"/>
      <c r="G76" s="24"/>
      <c r="H76" s="24"/>
      <c r="I76" s="24"/>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row>
    <row r="77" spans="1:44" ht="43.5" customHeight="1" x14ac:dyDescent="0.25">
      <c r="A77" s="24"/>
      <c r="B77" s="41" t="s">
        <v>29</v>
      </c>
      <c r="C77" s="597" t="s">
        <v>582</v>
      </c>
      <c r="D77" s="606"/>
      <c r="E77" s="606"/>
      <c r="F77" s="753"/>
      <c r="G77" s="24"/>
      <c r="H77" s="24"/>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row>
    <row r="78" spans="1:44" ht="43.5" customHeight="1" x14ac:dyDescent="0.25">
      <c r="A78" s="24"/>
      <c r="B78" s="41" t="s">
        <v>22</v>
      </c>
      <c r="C78" s="597" t="s">
        <v>509</v>
      </c>
      <c r="D78" s="606"/>
      <c r="E78" s="606"/>
      <c r="F78" s="753"/>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row>
    <row r="79" spans="1:44" ht="43.5" customHeight="1" x14ac:dyDescent="0.25">
      <c r="A79" s="24"/>
      <c r="B79" s="41" t="s">
        <v>424</v>
      </c>
      <c r="C79" s="597" t="s">
        <v>511</v>
      </c>
      <c r="D79" s="606"/>
      <c r="E79" s="606"/>
      <c r="F79" s="753"/>
      <c r="G79" s="24"/>
      <c r="H79" s="24"/>
      <c r="I79" s="24"/>
      <c r="J79" s="24"/>
      <c r="K79" s="24"/>
      <c r="L79" s="24"/>
      <c r="M79" s="24"/>
      <c r="N79" s="24"/>
      <c r="O79" s="24"/>
      <c r="P79" s="24"/>
      <c r="Q79" s="24"/>
      <c r="R79" s="24"/>
      <c r="S79" s="24"/>
      <c r="T79" s="24"/>
      <c r="U79" s="24"/>
      <c r="V79" s="24"/>
      <c r="W79" s="24"/>
      <c r="X79" s="24"/>
      <c r="Y79" s="24"/>
      <c r="Z79" s="24"/>
      <c r="AA79" s="24"/>
      <c r="AB79" s="24"/>
      <c r="AC79" s="24"/>
      <c r="AD79" s="24"/>
      <c r="AE79" s="24"/>
      <c r="AF79" s="24"/>
      <c r="AG79" s="24"/>
      <c r="AH79" s="24"/>
      <c r="AI79" s="24"/>
      <c r="AJ79" s="24"/>
      <c r="AK79" s="24"/>
      <c r="AL79" s="24"/>
      <c r="AM79" s="24"/>
      <c r="AN79" s="24"/>
      <c r="AO79" s="24"/>
      <c r="AP79" s="24"/>
      <c r="AQ79" s="24"/>
      <c r="AR79" s="24"/>
    </row>
    <row r="80" spans="1:44" ht="54.75" customHeight="1" x14ac:dyDescent="0.25">
      <c r="A80" s="24"/>
      <c r="B80" s="41" t="s">
        <v>388</v>
      </c>
      <c r="C80" s="597" t="s">
        <v>17</v>
      </c>
      <c r="D80" s="606"/>
      <c r="E80" s="606"/>
      <c r="F80" s="753"/>
      <c r="G80" s="24"/>
      <c r="H80" s="24"/>
      <c r="I80" s="24"/>
      <c r="J80" s="24"/>
      <c r="K80" s="24"/>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row>
    <row r="81" spans="1:44" ht="42.75" customHeight="1" x14ac:dyDescent="0.25">
      <c r="A81" s="24"/>
      <c r="B81" s="41" t="s">
        <v>401</v>
      </c>
      <c r="C81" s="597" t="s">
        <v>308</v>
      </c>
      <c r="D81" s="606"/>
      <c r="E81" s="606"/>
      <c r="F81" s="753"/>
      <c r="G81" s="24"/>
      <c r="H81" s="24"/>
      <c r="I81" s="24"/>
      <c r="J81" s="24"/>
      <c r="K81" s="24"/>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row>
    <row r="82" spans="1:44" ht="42.75" customHeight="1" x14ac:dyDescent="0.25">
      <c r="A82" s="24"/>
      <c r="B82" s="41" t="s">
        <v>422</v>
      </c>
      <c r="C82" s="597" t="s">
        <v>510</v>
      </c>
      <c r="D82" s="606"/>
      <c r="E82" s="606"/>
      <c r="F82" s="753"/>
      <c r="G82" s="24"/>
      <c r="H82" s="24"/>
      <c r="I82" s="24"/>
      <c r="J82" s="24"/>
      <c r="K82" s="24"/>
      <c r="L82" s="24"/>
      <c r="M82" s="24"/>
      <c r="N82" s="24"/>
      <c r="O82" s="24"/>
      <c r="P82" s="24"/>
      <c r="Q82" s="24"/>
      <c r="R82" s="24"/>
      <c r="S82" s="24"/>
      <c r="T82" s="24"/>
      <c r="U82" s="24"/>
      <c r="V82" s="24"/>
      <c r="W82" s="24"/>
      <c r="X82" s="24"/>
      <c r="Y82" s="24"/>
      <c r="Z82" s="24"/>
      <c r="AA82" s="24"/>
      <c r="AB82" s="24"/>
      <c r="AC82" s="24"/>
      <c r="AD82" s="24"/>
      <c r="AE82" s="24"/>
      <c r="AF82" s="24"/>
      <c r="AG82" s="24"/>
      <c r="AH82" s="24"/>
      <c r="AI82" s="24"/>
      <c r="AJ82" s="24"/>
      <c r="AK82" s="24"/>
      <c r="AL82" s="24"/>
      <c r="AM82" s="24"/>
      <c r="AN82" s="24"/>
      <c r="AO82" s="24"/>
      <c r="AP82" s="24"/>
      <c r="AQ82" s="24"/>
      <c r="AR82" s="24"/>
    </row>
    <row r="83" spans="1:44" ht="42.75" customHeight="1" x14ac:dyDescent="0.25">
      <c r="A83" s="24"/>
      <c r="B83" s="41" t="s">
        <v>418</v>
      </c>
      <c r="C83" s="597" t="s">
        <v>1</v>
      </c>
      <c r="D83" s="606"/>
      <c r="E83" s="606"/>
      <c r="F83" s="753"/>
      <c r="G83" s="24"/>
      <c r="H83" s="24"/>
      <c r="I83" s="24"/>
      <c r="J83" s="24"/>
      <c r="K83" s="24"/>
      <c r="L83" s="24"/>
      <c r="M83" s="24"/>
      <c r="N83" s="24"/>
      <c r="O83" s="24"/>
      <c r="P83" s="24"/>
      <c r="Q83" s="24"/>
      <c r="R83" s="24"/>
      <c r="S83" s="24"/>
      <c r="T83" s="24"/>
      <c r="U83" s="24"/>
      <c r="V83" s="24"/>
      <c r="W83" s="24"/>
      <c r="X83" s="24"/>
      <c r="Y83" s="24"/>
      <c r="Z83" s="24"/>
      <c r="AA83" s="24"/>
      <c r="AB83" s="24"/>
      <c r="AC83" s="24"/>
      <c r="AD83" s="24"/>
      <c r="AE83" s="24"/>
      <c r="AF83" s="24"/>
      <c r="AG83" s="24"/>
      <c r="AH83" s="24"/>
      <c r="AI83" s="24"/>
      <c r="AJ83" s="24"/>
      <c r="AK83" s="24"/>
      <c r="AL83" s="24"/>
      <c r="AM83" s="24"/>
      <c r="AN83" s="24"/>
      <c r="AO83" s="24"/>
      <c r="AP83" s="24"/>
      <c r="AQ83" s="24"/>
      <c r="AR83" s="24"/>
    </row>
    <row r="84" spans="1:44" ht="42.75" customHeight="1" x14ac:dyDescent="0.25">
      <c r="A84" s="24"/>
      <c r="B84" s="41" t="s">
        <v>391</v>
      </c>
      <c r="C84" s="597" t="s">
        <v>20</v>
      </c>
      <c r="D84" s="606"/>
      <c r="E84" s="606"/>
      <c r="F84" s="753"/>
      <c r="G84" s="24"/>
      <c r="H84" s="24"/>
      <c r="I84" s="24"/>
      <c r="J84" s="24"/>
      <c r="K84" s="24"/>
      <c r="L84" s="24"/>
      <c r="M84" s="24"/>
      <c r="N84" s="24"/>
      <c r="O84" s="24"/>
      <c r="P84" s="24"/>
      <c r="Q84" s="24"/>
      <c r="R84" s="24"/>
      <c r="S84" s="24"/>
      <c r="T84" s="24"/>
      <c r="U84" s="24"/>
      <c r="V84" s="24"/>
      <c r="W84" s="24"/>
      <c r="X84" s="24"/>
      <c r="Y84" s="24"/>
      <c r="Z84" s="24"/>
      <c r="AA84" s="24"/>
      <c r="AB84" s="24"/>
      <c r="AC84" s="24"/>
      <c r="AD84" s="24"/>
      <c r="AE84" s="24"/>
      <c r="AF84" s="24"/>
      <c r="AG84" s="24"/>
      <c r="AH84" s="24"/>
      <c r="AI84" s="24"/>
      <c r="AJ84" s="24"/>
      <c r="AK84" s="24"/>
      <c r="AL84" s="24"/>
      <c r="AM84" s="24"/>
      <c r="AN84" s="24"/>
      <c r="AO84" s="24"/>
      <c r="AP84" s="24"/>
      <c r="AQ84" s="24"/>
      <c r="AR84" s="24"/>
    </row>
    <row r="85" spans="1:44" ht="42.75" customHeight="1" x14ac:dyDescent="0.25">
      <c r="A85" s="24"/>
      <c r="B85" s="41" t="s">
        <v>408</v>
      </c>
      <c r="C85" s="597" t="s">
        <v>579</v>
      </c>
      <c r="D85" s="606"/>
      <c r="E85" s="606"/>
      <c r="F85" s="753"/>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c r="AL85" s="24"/>
      <c r="AM85" s="24"/>
      <c r="AN85" s="24"/>
      <c r="AO85" s="24"/>
      <c r="AP85" s="24"/>
      <c r="AQ85" s="24"/>
      <c r="AR85" s="24"/>
    </row>
    <row r="86" spans="1:44" ht="42.75" customHeight="1" x14ac:dyDescent="0.25">
      <c r="A86" s="24"/>
      <c r="B86" s="41" t="s">
        <v>409</v>
      </c>
      <c r="C86" s="597" t="s">
        <v>580</v>
      </c>
      <c r="D86" s="606"/>
      <c r="E86" s="606"/>
      <c r="F86" s="753"/>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row>
    <row r="87" spans="1:44" ht="60.75" customHeight="1" x14ac:dyDescent="0.25">
      <c r="A87" s="24"/>
      <c r="B87" s="41" t="s">
        <v>385</v>
      </c>
      <c r="C87" s="597" t="s">
        <v>309</v>
      </c>
      <c r="D87" s="606"/>
      <c r="E87" s="606"/>
      <c r="F87" s="753"/>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c r="AL87" s="24"/>
      <c r="AM87" s="24"/>
      <c r="AN87" s="24"/>
      <c r="AO87" s="24"/>
      <c r="AP87" s="24"/>
      <c r="AQ87" s="24"/>
      <c r="AR87" s="24"/>
    </row>
    <row r="88" spans="1:44" ht="39.75" customHeight="1" x14ac:dyDescent="0.25">
      <c r="A88" s="24"/>
      <c r="B88" s="41" t="s">
        <v>376</v>
      </c>
      <c r="C88" s="597" t="s">
        <v>363</v>
      </c>
      <c r="D88" s="606"/>
      <c r="E88" s="606"/>
      <c r="F88" s="753"/>
      <c r="G88" s="24"/>
      <c r="H88" s="24"/>
      <c r="I88" s="24"/>
      <c r="J88" s="24"/>
      <c r="K88" s="24"/>
      <c r="L88" s="24"/>
      <c r="M88" s="24"/>
      <c r="N88" s="24"/>
      <c r="O88" s="24"/>
      <c r="P88" s="24"/>
      <c r="Q88" s="24"/>
      <c r="R88" s="24"/>
      <c r="S88" s="24"/>
      <c r="T88" s="24"/>
      <c r="U88" s="24"/>
      <c r="V88" s="24"/>
      <c r="W88" s="24"/>
      <c r="X88" s="24"/>
      <c r="Y88" s="24"/>
      <c r="Z88" s="24"/>
      <c r="AA88" s="24"/>
      <c r="AB88" s="24"/>
      <c r="AC88" s="24"/>
      <c r="AD88" s="24"/>
      <c r="AE88" s="24"/>
      <c r="AF88" s="24"/>
      <c r="AG88" s="24"/>
      <c r="AH88" s="24"/>
      <c r="AI88" s="24"/>
      <c r="AJ88" s="24"/>
      <c r="AK88" s="24"/>
      <c r="AL88" s="24"/>
      <c r="AM88" s="24"/>
      <c r="AN88" s="24"/>
      <c r="AO88" s="24"/>
      <c r="AP88" s="24"/>
      <c r="AQ88" s="24"/>
      <c r="AR88" s="24"/>
    </row>
    <row r="89" spans="1:44" ht="15" x14ac:dyDescent="0.25">
      <c r="A89" s="24"/>
      <c r="B89" s="41" t="s">
        <v>383</v>
      </c>
      <c r="C89" s="597" t="s">
        <v>307</v>
      </c>
      <c r="D89" s="606"/>
      <c r="E89" s="606"/>
      <c r="F89" s="753"/>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row>
    <row r="90" spans="1:44" ht="15" x14ac:dyDescent="0.25">
      <c r="A90" s="24"/>
      <c r="B90" s="41" t="s">
        <v>423</v>
      </c>
      <c r="C90" s="597" t="s">
        <v>5</v>
      </c>
      <c r="D90" s="606"/>
      <c r="E90" s="606"/>
      <c r="F90" s="753"/>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row>
    <row r="91" spans="1:44" ht="60" customHeight="1" x14ac:dyDescent="0.25">
      <c r="A91" s="24"/>
      <c r="B91" s="41" t="s">
        <v>389</v>
      </c>
      <c r="C91" s="597" t="s">
        <v>18</v>
      </c>
      <c r="D91" s="606"/>
      <c r="E91" s="606"/>
      <c r="F91" s="753"/>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row>
    <row r="92" spans="1:44" ht="60" customHeight="1" x14ac:dyDescent="0.25">
      <c r="A92" s="24"/>
      <c r="B92" s="41" t="s">
        <v>613</v>
      </c>
      <c r="C92" s="597" t="s">
        <v>2</v>
      </c>
      <c r="D92" s="606"/>
      <c r="E92" s="606"/>
      <c r="F92" s="753"/>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row>
    <row r="93" spans="1:44" ht="60.75" customHeight="1" x14ac:dyDescent="0.25">
      <c r="A93" s="24"/>
      <c r="B93" s="41" t="s">
        <v>379</v>
      </c>
      <c r="C93" s="597" t="s">
        <v>364</v>
      </c>
      <c r="D93" s="606"/>
      <c r="E93" s="606"/>
      <c r="F93" s="753"/>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row>
    <row r="94" spans="1:44" ht="60.75" customHeight="1" x14ac:dyDescent="0.25">
      <c r="A94" s="24"/>
      <c r="B94" s="41" t="s">
        <v>394</v>
      </c>
      <c r="C94" s="597" t="s">
        <v>366</v>
      </c>
      <c r="D94" s="606"/>
      <c r="E94" s="606"/>
      <c r="F94" s="753"/>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row>
    <row r="95" spans="1:44" ht="60.75" customHeight="1" thickBot="1" x14ac:dyDescent="0.3">
      <c r="A95" s="24"/>
      <c r="B95" s="59" t="s">
        <v>411</v>
      </c>
      <c r="C95" s="766" t="s">
        <v>581</v>
      </c>
      <c r="D95" s="767"/>
      <c r="E95" s="767"/>
      <c r="F95" s="768"/>
      <c r="G95" s="24"/>
      <c r="H95" s="24"/>
      <c r="I95" s="24"/>
      <c r="J95" s="24"/>
      <c r="K95" s="24"/>
      <c r="L95" s="24"/>
      <c r="M95" s="24"/>
      <c r="N95" s="24"/>
      <c r="O95" s="24"/>
      <c r="P95" s="24"/>
      <c r="Q95" s="24"/>
      <c r="R95" s="24"/>
      <c r="S95" s="24"/>
      <c r="T95" s="24"/>
      <c r="U95" s="24"/>
      <c r="V95" s="24"/>
      <c r="W95" s="24"/>
      <c r="X95" s="24"/>
      <c r="Y95" s="24"/>
      <c r="Z95" s="24"/>
      <c r="AA95" s="24"/>
      <c r="AB95" s="24"/>
      <c r="AC95" s="24"/>
      <c r="AD95" s="24"/>
      <c r="AE95" s="24"/>
      <c r="AF95" s="24"/>
      <c r="AG95" s="24"/>
      <c r="AH95" s="24"/>
      <c r="AI95" s="24"/>
      <c r="AJ95" s="24"/>
      <c r="AK95" s="24"/>
      <c r="AL95" s="24"/>
      <c r="AM95" s="24"/>
      <c r="AN95" s="24"/>
      <c r="AO95" s="24"/>
      <c r="AP95" s="24"/>
      <c r="AQ95" s="24"/>
      <c r="AR95" s="24"/>
    </row>
    <row r="96" spans="1:44" x14ac:dyDescent="0.3">
      <c r="A96" s="24"/>
      <c r="B96" s="24" t="s">
        <v>382</v>
      </c>
      <c r="C96" s="64"/>
      <c r="D96" s="24"/>
      <c r="F96" s="24"/>
      <c r="G96" s="24"/>
      <c r="H96" s="24"/>
      <c r="I96" s="24"/>
      <c r="J96" s="24"/>
      <c r="K96" s="24"/>
      <c r="L96" s="24"/>
      <c r="M96" s="24"/>
      <c r="N96" s="24"/>
      <c r="O96" s="24"/>
      <c r="P96" s="24"/>
      <c r="Q96" s="24"/>
      <c r="R96" s="24"/>
      <c r="S96" s="24"/>
      <c r="T96" s="24"/>
      <c r="U96" s="24"/>
      <c r="V96" s="24"/>
      <c r="W96" s="24"/>
      <c r="X96" s="24"/>
      <c r="Y96" s="24"/>
      <c r="Z96" s="24"/>
      <c r="AA96" s="24"/>
      <c r="AB96" s="24"/>
      <c r="AC96" s="24"/>
      <c r="AD96" s="24"/>
      <c r="AE96" s="24"/>
      <c r="AF96" s="24"/>
      <c r="AG96" s="24"/>
      <c r="AH96" s="24"/>
      <c r="AI96" s="24"/>
      <c r="AJ96" s="24"/>
      <c r="AK96" s="24"/>
      <c r="AL96" s="24"/>
      <c r="AM96" s="24"/>
      <c r="AN96" s="24"/>
      <c r="AO96" s="24"/>
      <c r="AP96" s="24"/>
      <c r="AQ96" s="24"/>
      <c r="AR96" s="24"/>
    </row>
    <row r="97" spans="1:50" x14ac:dyDescent="0.3">
      <c r="A97" s="24"/>
      <c r="B97" s="24" t="s">
        <v>381</v>
      </c>
      <c r="C97" s="24"/>
      <c r="D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c r="AL97" s="24"/>
      <c r="AM97" s="24"/>
      <c r="AN97" s="24"/>
      <c r="AO97" s="24"/>
      <c r="AP97" s="24"/>
      <c r="AQ97" s="24"/>
      <c r="AR97" s="24"/>
    </row>
    <row r="98" spans="1:50" x14ac:dyDescent="0.3">
      <c r="A98" s="24"/>
      <c r="B98" s="24" t="s">
        <v>612</v>
      </c>
      <c r="C98" s="24"/>
      <c r="D98" s="24"/>
      <c r="F98" s="24"/>
      <c r="G98" s="24"/>
      <c r="H98" s="24"/>
      <c r="I98" s="24"/>
      <c r="J98" s="24"/>
      <c r="K98" s="24"/>
      <c r="L98" s="24"/>
      <c r="M98" s="24"/>
      <c r="N98" s="24"/>
      <c r="O98" s="24"/>
      <c r="P98" s="24"/>
      <c r="Q98" s="24"/>
      <c r="R98" s="24"/>
      <c r="S98" s="24"/>
      <c r="T98" s="24"/>
      <c r="U98" s="24"/>
      <c r="V98" s="24"/>
      <c r="W98" s="24"/>
      <c r="X98" s="24"/>
      <c r="Y98" s="24"/>
      <c r="Z98" s="24"/>
      <c r="AA98" s="24"/>
      <c r="AB98" s="24"/>
      <c r="AC98" s="24"/>
      <c r="AD98" s="24"/>
      <c r="AE98" s="24"/>
      <c r="AF98" s="24"/>
      <c r="AG98" s="24"/>
      <c r="AH98" s="24"/>
      <c r="AI98" s="24"/>
      <c r="AJ98" s="24"/>
      <c r="AK98" s="24"/>
      <c r="AL98" s="24"/>
      <c r="AM98" s="24"/>
      <c r="AN98" s="24"/>
      <c r="AO98" s="24"/>
      <c r="AP98" s="24"/>
      <c r="AQ98" s="24"/>
      <c r="AR98" s="24"/>
    </row>
    <row r="99" spans="1:50" x14ac:dyDescent="0.3">
      <c r="A99" s="24"/>
      <c r="B99" s="24"/>
      <c r="C99" s="24"/>
      <c r="D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c r="AL99" s="24"/>
      <c r="AM99" s="24"/>
      <c r="AN99" s="24"/>
      <c r="AO99" s="24"/>
      <c r="AP99" s="24"/>
      <c r="AQ99" s="24"/>
      <c r="AR99" s="24"/>
    </row>
    <row r="100" spans="1:50" x14ac:dyDescent="0.3">
      <c r="A100" s="24"/>
      <c r="B100" s="24"/>
      <c r="C100" s="24"/>
      <c r="D100" s="24"/>
      <c r="F100" s="24"/>
      <c r="G100" s="24"/>
      <c r="H100" s="24"/>
      <c r="I100" s="24"/>
      <c r="J100" s="24"/>
      <c r="K100" s="24"/>
      <c r="L100" s="24"/>
      <c r="M100" s="24"/>
      <c r="N100" s="24"/>
      <c r="O100" s="24"/>
      <c r="P100" s="24"/>
      <c r="Q100" s="24"/>
      <c r="R100" s="24"/>
      <c r="S100" s="24"/>
      <c r="T100" s="24"/>
      <c r="U100" s="24"/>
      <c r="V100" s="24"/>
      <c r="W100" s="24"/>
      <c r="X100" s="24"/>
      <c r="Y100" s="24"/>
      <c r="Z100" s="24"/>
      <c r="AA100" s="24"/>
      <c r="AB100" s="24"/>
      <c r="AC100" s="24"/>
      <c r="AD100" s="24"/>
      <c r="AE100" s="24"/>
      <c r="AF100" s="24"/>
      <c r="AG100" s="24"/>
      <c r="AH100" s="24"/>
      <c r="AI100" s="24"/>
      <c r="AJ100" s="24"/>
      <c r="AK100" s="24"/>
      <c r="AL100" s="24"/>
      <c r="AM100" s="24"/>
      <c r="AN100" s="24"/>
      <c r="AO100" s="24"/>
      <c r="AP100" s="24"/>
      <c r="AQ100" s="24"/>
      <c r="AR100" s="24"/>
    </row>
    <row r="101" spans="1:50" ht="18" thickBot="1" x14ac:dyDescent="0.35">
      <c r="B101" s="2" t="s">
        <v>430</v>
      </c>
      <c r="C101" s="24"/>
      <c r="D101" s="24"/>
      <c r="F101" s="24"/>
      <c r="G101" s="24"/>
      <c r="H101" s="24"/>
      <c r="I101" s="24"/>
      <c r="J101" s="24"/>
      <c r="K101" s="24"/>
      <c r="L101" s="24"/>
      <c r="M101" s="24"/>
      <c r="N101" s="24"/>
      <c r="O101" s="24"/>
      <c r="P101" s="24"/>
      <c r="Q101" s="24"/>
      <c r="R101" s="24"/>
      <c r="S101" s="24"/>
      <c r="T101" s="24"/>
      <c r="U101" s="24"/>
      <c r="V101" s="24"/>
      <c r="W101" s="24"/>
      <c r="X101" s="24"/>
      <c r="Y101" s="24"/>
      <c r="Z101" s="24"/>
      <c r="AA101" s="24"/>
      <c r="AB101" s="24"/>
      <c r="AC101" s="24"/>
      <c r="AD101" s="24"/>
      <c r="AE101" s="24"/>
      <c r="AF101" s="24"/>
      <c r="AG101" s="24"/>
      <c r="AH101" s="24"/>
      <c r="AI101" s="24"/>
      <c r="AJ101" s="24"/>
      <c r="AK101" s="24"/>
      <c r="AL101" s="24"/>
      <c r="AM101" s="24"/>
      <c r="AN101" s="24"/>
      <c r="AO101" s="24"/>
      <c r="AP101" s="24"/>
      <c r="AQ101" s="24"/>
      <c r="AR101" s="24"/>
    </row>
    <row r="102" spans="1:50" ht="55.5" customHeight="1" thickBot="1" x14ac:dyDescent="0.35">
      <c r="B102" s="76" t="s">
        <v>21</v>
      </c>
      <c r="C102" s="146" t="s">
        <v>6</v>
      </c>
      <c r="D102" s="77"/>
      <c r="E102" s="78" t="s">
        <v>7</v>
      </c>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row>
    <row r="103" spans="1:50" x14ac:dyDescent="0.3">
      <c r="A103" s="25"/>
      <c r="B103" s="46" t="s">
        <v>25</v>
      </c>
      <c r="C103" s="64" t="s">
        <v>431</v>
      </c>
      <c r="D103" t="s">
        <v>434</v>
      </c>
      <c r="E103" s="71" t="s">
        <v>487</v>
      </c>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row>
    <row r="104" spans="1:50" x14ac:dyDescent="0.3">
      <c r="A104" s="25"/>
      <c r="B104" s="25" t="s">
        <v>407</v>
      </c>
      <c r="C104" s="24" t="s">
        <v>431</v>
      </c>
      <c r="E104" s="72" t="s">
        <v>488</v>
      </c>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row>
    <row r="105" spans="1:50" x14ac:dyDescent="0.3">
      <c r="A105" s="25"/>
      <c r="B105" s="25" t="s">
        <v>410</v>
      </c>
      <c r="C105" s="24" t="s">
        <v>431</v>
      </c>
      <c r="E105" s="72" t="s">
        <v>440</v>
      </c>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row>
    <row r="106" spans="1:50" x14ac:dyDescent="0.3">
      <c r="A106" s="25"/>
      <c r="B106" s="25" t="s">
        <v>27</v>
      </c>
      <c r="C106" s="24" t="s">
        <v>431</v>
      </c>
      <c r="E106" s="72" t="s">
        <v>441</v>
      </c>
      <c r="H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row>
    <row r="107" spans="1:50" x14ac:dyDescent="0.3">
      <c r="A107" s="25"/>
      <c r="B107" s="25" t="s">
        <v>387</v>
      </c>
      <c r="C107" s="24" t="s">
        <v>431</v>
      </c>
      <c r="E107" s="72" t="s">
        <v>442</v>
      </c>
      <c r="H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row>
    <row r="108" spans="1:50" x14ac:dyDescent="0.3">
      <c r="A108" s="25"/>
      <c r="B108" s="25" t="s">
        <v>388</v>
      </c>
      <c r="C108" s="24" t="s">
        <v>431</v>
      </c>
      <c r="E108" s="72" t="s">
        <v>443</v>
      </c>
      <c r="H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row>
    <row r="109" spans="1:50" x14ac:dyDescent="0.3">
      <c r="A109" s="25"/>
      <c r="B109" s="25" t="s">
        <v>389</v>
      </c>
      <c r="C109" s="24" t="s">
        <v>431</v>
      </c>
      <c r="E109" s="72" t="s">
        <v>444</v>
      </c>
      <c r="H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row>
    <row r="110" spans="1:50" x14ac:dyDescent="0.3">
      <c r="A110" s="25"/>
      <c r="B110" s="25" t="s">
        <v>28</v>
      </c>
      <c r="C110" s="24" t="s">
        <v>431</v>
      </c>
      <c r="E110" s="72" t="s">
        <v>445</v>
      </c>
      <c r="H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row>
    <row r="111" spans="1:50" x14ac:dyDescent="0.3">
      <c r="A111" s="25"/>
      <c r="B111" s="25" t="s">
        <v>390</v>
      </c>
      <c r="C111" s="24" t="s">
        <v>431</v>
      </c>
      <c r="E111" s="72" t="s">
        <v>446</v>
      </c>
      <c r="H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row>
    <row r="112" spans="1:50" x14ac:dyDescent="0.3">
      <c r="A112" s="25"/>
      <c r="B112" s="25" t="s">
        <v>391</v>
      </c>
      <c r="C112" s="24" t="s">
        <v>431</v>
      </c>
      <c r="E112" s="72" t="s">
        <v>447</v>
      </c>
      <c r="H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row>
    <row r="113" spans="1:50" x14ac:dyDescent="0.3">
      <c r="A113" s="25"/>
      <c r="B113" s="25" t="s">
        <v>392</v>
      </c>
      <c r="C113" s="24" t="s">
        <v>431</v>
      </c>
      <c r="E113" s="72" t="s">
        <v>448</v>
      </c>
      <c r="H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row>
    <row r="114" spans="1:50" x14ac:dyDescent="0.3">
      <c r="A114" s="25"/>
      <c r="B114" s="25" t="s">
        <v>413</v>
      </c>
      <c r="C114" s="24" t="s">
        <v>431</v>
      </c>
      <c r="E114" s="72" t="s">
        <v>449</v>
      </c>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row>
    <row r="115" spans="1:50" x14ac:dyDescent="0.3">
      <c r="A115" s="25"/>
      <c r="B115" s="25" t="s">
        <v>414</v>
      </c>
      <c r="C115" s="24" t="s">
        <v>431</v>
      </c>
      <c r="E115" s="72" t="s">
        <v>450</v>
      </c>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row>
    <row r="116" spans="1:50" x14ac:dyDescent="0.3">
      <c r="A116" s="25"/>
      <c r="B116" s="25" t="s">
        <v>426</v>
      </c>
      <c r="C116" s="24" t="s">
        <v>431</v>
      </c>
      <c r="E116" s="72" t="s">
        <v>451</v>
      </c>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row>
    <row r="117" spans="1:50" x14ac:dyDescent="0.3">
      <c r="A117" s="25"/>
      <c r="B117" s="25" t="s">
        <v>394</v>
      </c>
      <c r="C117" s="24" t="s">
        <v>431</v>
      </c>
      <c r="E117" s="72" t="s">
        <v>452</v>
      </c>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row>
    <row r="118" spans="1:50" x14ac:dyDescent="0.3">
      <c r="A118" s="25"/>
      <c r="B118" s="25" t="s">
        <v>421</v>
      </c>
      <c r="C118" s="24" t="s">
        <v>431</v>
      </c>
      <c r="E118" s="72" t="s">
        <v>453</v>
      </c>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row>
    <row r="119" spans="1:50" x14ac:dyDescent="0.3">
      <c r="A119" s="25"/>
      <c r="B119" s="25" t="s">
        <v>30</v>
      </c>
      <c r="C119" s="24" t="s">
        <v>431</v>
      </c>
      <c r="E119" s="72" t="s">
        <v>454</v>
      </c>
      <c r="H119" s="24"/>
      <c r="I119" s="24"/>
      <c r="J119" s="24"/>
      <c r="K119" s="24"/>
      <c r="L119" s="24"/>
      <c r="M119" s="24"/>
      <c r="N119" s="24"/>
      <c r="O119" s="24"/>
      <c r="P119" s="24"/>
      <c r="Q119" s="24"/>
      <c r="R119" s="24"/>
      <c r="S119" s="24"/>
      <c r="T119" s="24"/>
      <c r="U119" s="24"/>
      <c r="V119" s="24"/>
      <c r="W119" s="24"/>
      <c r="X119" s="24"/>
      <c r="Y119" s="24"/>
      <c r="Z119" s="24"/>
      <c r="AA119" s="24"/>
      <c r="AB119" s="24"/>
      <c r="AC119" s="24"/>
      <c r="AD119" s="24"/>
      <c r="AE119" s="24"/>
      <c r="AF119" s="24"/>
      <c r="AG119" s="24"/>
      <c r="AH119" s="24"/>
      <c r="AI119" s="24"/>
      <c r="AJ119" s="24"/>
      <c r="AK119" s="24"/>
      <c r="AL119" s="24"/>
      <c r="AM119" s="24"/>
      <c r="AN119" s="24"/>
      <c r="AO119" s="24"/>
      <c r="AP119" s="24"/>
      <c r="AQ119" s="24"/>
      <c r="AR119" s="24"/>
      <c r="AS119" s="24"/>
      <c r="AT119" s="24"/>
      <c r="AU119" s="24"/>
      <c r="AV119" s="24"/>
      <c r="AW119" s="24"/>
      <c r="AX119" s="24"/>
    </row>
    <row r="120" spans="1:50" x14ac:dyDescent="0.3">
      <c r="A120" s="25"/>
      <c r="B120" s="25" t="s">
        <v>427</v>
      </c>
      <c r="C120" s="24" t="s">
        <v>431</v>
      </c>
      <c r="E120" s="72" t="s">
        <v>455</v>
      </c>
      <c r="H120" s="24"/>
      <c r="I120" s="24"/>
      <c r="J120" s="24"/>
      <c r="K120" s="24"/>
      <c r="L120" s="24"/>
      <c r="M120" s="24"/>
      <c r="N120" s="24"/>
      <c r="O120" s="24"/>
      <c r="P120" s="24"/>
      <c r="Q120" s="24"/>
      <c r="R120" s="24"/>
      <c r="S120" s="24"/>
      <c r="T120" s="24"/>
      <c r="U120" s="24"/>
      <c r="V120" s="24"/>
      <c r="W120" s="24"/>
      <c r="X120" s="24"/>
      <c r="Y120" s="24"/>
      <c r="Z120" s="24"/>
      <c r="AA120" s="24"/>
      <c r="AB120" s="24"/>
      <c r="AC120" s="24"/>
      <c r="AD120" s="24"/>
      <c r="AE120" s="24"/>
      <c r="AF120" s="24"/>
      <c r="AG120" s="24"/>
      <c r="AH120" s="24"/>
      <c r="AI120" s="24"/>
      <c r="AJ120" s="24"/>
      <c r="AK120" s="24"/>
      <c r="AL120" s="24"/>
      <c r="AM120" s="24"/>
      <c r="AN120" s="24"/>
      <c r="AO120" s="24"/>
      <c r="AP120" s="24"/>
      <c r="AQ120" s="24"/>
      <c r="AR120" s="24"/>
      <c r="AS120" s="24"/>
      <c r="AT120" s="24"/>
      <c r="AU120" s="24"/>
      <c r="AV120" s="24"/>
      <c r="AW120" s="24"/>
      <c r="AX120" s="24"/>
    </row>
    <row r="121" spans="1:50" x14ac:dyDescent="0.3">
      <c r="A121" s="25"/>
      <c r="B121" s="25" t="s">
        <v>33</v>
      </c>
      <c r="C121" s="24" t="s">
        <v>431</v>
      </c>
      <c r="E121" s="72" t="s">
        <v>456</v>
      </c>
      <c r="H121" s="24"/>
      <c r="I121" s="24"/>
      <c r="J121" s="24"/>
      <c r="K121" s="24"/>
      <c r="L121" s="24"/>
      <c r="M121" s="24"/>
      <c r="N121" s="24"/>
      <c r="O121" s="24"/>
      <c r="P121" s="24"/>
      <c r="Q121" s="24"/>
      <c r="R121" s="24"/>
      <c r="S121" s="24"/>
      <c r="T121" s="24"/>
      <c r="U121" s="24"/>
      <c r="V121" s="24"/>
      <c r="W121" s="24"/>
      <c r="X121" s="24"/>
      <c r="Y121" s="24"/>
      <c r="Z121" s="24"/>
      <c r="AA121" s="24"/>
      <c r="AB121" s="24"/>
      <c r="AC121" s="24"/>
      <c r="AD121" s="24"/>
      <c r="AE121" s="24"/>
      <c r="AF121" s="24"/>
      <c r="AG121" s="24"/>
      <c r="AH121" s="24"/>
      <c r="AI121" s="24"/>
      <c r="AJ121" s="24"/>
      <c r="AK121" s="24"/>
      <c r="AL121" s="24"/>
      <c r="AM121" s="24"/>
      <c r="AN121" s="24"/>
      <c r="AO121" s="24"/>
      <c r="AP121" s="24"/>
      <c r="AQ121" s="24"/>
      <c r="AR121" s="24"/>
      <c r="AS121" s="24"/>
      <c r="AT121" s="24"/>
      <c r="AU121" s="24"/>
      <c r="AV121" s="24"/>
      <c r="AW121" s="24"/>
      <c r="AX121" s="24"/>
    </row>
    <row r="122" spans="1:50" ht="18" thickBot="1" x14ac:dyDescent="0.35">
      <c r="A122" s="24"/>
      <c r="B122" s="25" t="s">
        <v>29</v>
      </c>
      <c r="C122" s="24" t="s">
        <v>431</v>
      </c>
      <c r="D122" s="24"/>
      <c r="E122" s="72" t="s">
        <v>476</v>
      </c>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24"/>
      <c r="AQ122" s="24"/>
      <c r="AR122" s="24"/>
    </row>
    <row r="123" spans="1:50" x14ac:dyDescent="0.3">
      <c r="A123" s="25"/>
      <c r="B123" s="46" t="s">
        <v>420</v>
      </c>
      <c r="C123" s="64" t="s">
        <v>432</v>
      </c>
      <c r="D123" s="8" t="s">
        <v>435</v>
      </c>
      <c r="E123" s="268" t="s">
        <v>472</v>
      </c>
      <c r="H123" s="24"/>
      <c r="I123" s="24"/>
      <c r="J123" s="24"/>
      <c r="K123" s="24"/>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24"/>
      <c r="AQ123" s="24"/>
      <c r="AR123" s="24"/>
      <c r="AS123" s="24"/>
      <c r="AT123" s="24"/>
      <c r="AU123" s="24"/>
      <c r="AV123" s="24"/>
      <c r="AW123" s="24"/>
      <c r="AX123" s="24"/>
    </row>
    <row r="124" spans="1:50" ht="15.75" customHeight="1" x14ac:dyDescent="0.3">
      <c r="A124" s="25"/>
      <c r="B124" s="25" t="s">
        <v>397</v>
      </c>
      <c r="C124" s="24" t="s">
        <v>432</v>
      </c>
      <c r="E124" s="72" t="s">
        <v>428</v>
      </c>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24"/>
      <c r="AQ124" s="24"/>
      <c r="AR124" s="24"/>
    </row>
    <row r="125" spans="1:50" ht="15.75" customHeight="1" x14ac:dyDescent="0.3">
      <c r="A125" s="25"/>
      <c r="B125" s="25" t="s">
        <v>398</v>
      </c>
      <c r="C125" s="24" t="s">
        <v>432</v>
      </c>
      <c r="E125" s="72" t="s">
        <v>457</v>
      </c>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24"/>
      <c r="AQ125" s="24"/>
      <c r="AR125" s="24"/>
    </row>
    <row r="126" spans="1:50" ht="15.75" customHeight="1" x14ac:dyDescent="0.3">
      <c r="A126" s="25"/>
      <c r="B126" s="25" t="s">
        <v>399</v>
      </c>
      <c r="C126" s="24" t="s">
        <v>432</v>
      </c>
      <c r="E126" s="72" t="s">
        <v>458</v>
      </c>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row>
    <row r="127" spans="1:50" ht="15.75" customHeight="1" x14ac:dyDescent="0.3">
      <c r="A127" s="25"/>
      <c r="B127" s="25" t="s">
        <v>400</v>
      </c>
      <c r="C127" s="24" t="s">
        <v>432</v>
      </c>
      <c r="E127" s="72" t="s">
        <v>459</v>
      </c>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row>
    <row r="128" spans="1:50" ht="15.75" customHeight="1" x14ac:dyDescent="0.3">
      <c r="A128" s="25"/>
      <c r="B128" s="25" t="s">
        <v>401</v>
      </c>
      <c r="C128" s="24" t="s">
        <v>432</v>
      </c>
      <c r="E128" s="72" t="s">
        <v>460</v>
      </c>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row>
    <row r="129" spans="1:44" ht="15.75" customHeight="1" x14ac:dyDescent="0.3">
      <c r="A129" s="25"/>
      <c r="B129" s="25" t="s">
        <v>383</v>
      </c>
      <c r="C129" s="24" t="s">
        <v>432</v>
      </c>
      <c r="E129" s="72" t="s">
        <v>461</v>
      </c>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row>
    <row r="130" spans="1:44" ht="15.75" customHeight="1" x14ac:dyDescent="0.3">
      <c r="A130" s="25"/>
      <c r="B130" s="25" t="s">
        <v>384</v>
      </c>
      <c r="C130" s="24" t="s">
        <v>432</v>
      </c>
      <c r="E130" s="72" t="s">
        <v>462</v>
      </c>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row>
    <row r="131" spans="1:44" ht="15.75" customHeight="1" x14ac:dyDescent="0.3">
      <c r="A131" s="25"/>
      <c r="B131" s="25" t="s">
        <v>385</v>
      </c>
      <c r="C131" s="24" t="s">
        <v>432</v>
      </c>
      <c r="E131" s="72" t="s">
        <v>463</v>
      </c>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row>
    <row r="132" spans="1:44" ht="15.75" customHeight="1" x14ac:dyDescent="0.3">
      <c r="A132" s="25"/>
      <c r="B132" s="25" t="s">
        <v>386</v>
      </c>
      <c r="C132" s="24" t="s">
        <v>432</v>
      </c>
      <c r="E132" s="72" t="s">
        <v>464</v>
      </c>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row>
    <row r="133" spans="1:44" ht="15.75" customHeight="1" x14ac:dyDescent="0.3">
      <c r="A133" s="25"/>
      <c r="B133" s="25" t="s">
        <v>24</v>
      </c>
      <c r="C133" s="24" t="s">
        <v>432</v>
      </c>
      <c r="E133" s="72" t="s">
        <v>465</v>
      </c>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row>
    <row r="134" spans="1:44" ht="15.75" customHeight="1" x14ac:dyDescent="0.3">
      <c r="A134" s="25"/>
      <c r="B134" s="25" t="s">
        <v>26</v>
      </c>
      <c r="C134" s="24" t="s">
        <v>432</v>
      </c>
      <c r="E134" s="72" t="s">
        <v>466</v>
      </c>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row>
    <row r="135" spans="1:44" x14ac:dyDescent="0.3">
      <c r="A135" s="24"/>
      <c r="B135" s="25" t="s">
        <v>22</v>
      </c>
      <c r="C135" s="269" t="s">
        <v>432</v>
      </c>
      <c r="D135" s="24"/>
      <c r="E135" s="72" t="s">
        <v>470</v>
      </c>
      <c r="H135" s="24"/>
      <c r="I135" s="24"/>
      <c r="J135" s="24"/>
      <c r="K135" s="24"/>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row>
    <row r="136" spans="1:44" x14ac:dyDescent="0.3">
      <c r="A136" s="24"/>
      <c r="B136" s="25" t="s">
        <v>406</v>
      </c>
      <c r="C136" s="24" t="s">
        <v>432</v>
      </c>
      <c r="D136" s="24"/>
      <c r="E136" s="72" t="s">
        <v>471</v>
      </c>
      <c r="H136" s="24"/>
      <c r="I136" s="24"/>
      <c r="J136" s="24"/>
      <c r="K136" s="24"/>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24"/>
      <c r="AQ136" s="24"/>
      <c r="AR136" s="24"/>
    </row>
    <row r="137" spans="1:44" x14ac:dyDescent="0.3">
      <c r="A137" s="24"/>
      <c r="B137" s="25" t="s">
        <v>425</v>
      </c>
      <c r="C137" s="24" t="s">
        <v>432</v>
      </c>
      <c r="D137" s="24"/>
      <c r="E137" s="72" t="s">
        <v>472</v>
      </c>
      <c r="H137" s="24"/>
      <c r="I137" s="24"/>
      <c r="J137" s="24"/>
      <c r="K137" s="24"/>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row>
    <row r="138" spans="1:44" x14ac:dyDescent="0.3">
      <c r="A138" s="24"/>
      <c r="B138" s="25" t="s">
        <v>408</v>
      </c>
      <c r="C138" s="24" t="s">
        <v>432</v>
      </c>
      <c r="D138" s="24"/>
      <c r="E138" s="72" t="s">
        <v>473</v>
      </c>
      <c r="H138" s="24"/>
      <c r="I138" s="24"/>
      <c r="J138" s="24"/>
      <c r="K138" s="24"/>
      <c r="L138" s="24"/>
      <c r="M138" s="24"/>
      <c r="N138" s="24"/>
      <c r="O138" s="24"/>
      <c r="P138" s="24"/>
      <c r="Q138" s="24"/>
      <c r="R138" s="24"/>
      <c r="S138" s="24"/>
      <c r="T138" s="24"/>
      <c r="U138" s="24"/>
      <c r="V138" s="24"/>
      <c r="W138" s="24"/>
      <c r="X138" s="24"/>
      <c r="Y138" s="24"/>
      <c r="Z138" s="24"/>
      <c r="AA138" s="24"/>
      <c r="AB138" s="24"/>
      <c r="AC138" s="24"/>
      <c r="AD138" s="24"/>
      <c r="AE138" s="24"/>
      <c r="AF138" s="24"/>
      <c r="AG138" s="24"/>
      <c r="AH138" s="24"/>
      <c r="AI138" s="24"/>
      <c r="AJ138" s="24"/>
      <c r="AK138" s="24"/>
      <c r="AL138" s="24"/>
      <c r="AM138" s="24"/>
      <c r="AN138" s="24"/>
      <c r="AO138" s="24"/>
      <c r="AP138" s="24"/>
      <c r="AQ138" s="24"/>
      <c r="AR138" s="24"/>
    </row>
    <row r="139" spans="1:44" x14ac:dyDescent="0.3">
      <c r="A139" s="24"/>
      <c r="B139" s="25" t="s">
        <v>409</v>
      </c>
      <c r="C139" s="24" t="s">
        <v>432</v>
      </c>
      <c r="D139" s="24"/>
      <c r="E139" s="72" t="s">
        <v>474</v>
      </c>
      <c r="H139" s="24"/>
      <c r="I139" s="24"/>
      <c r="J139" s="24"/>
      <c r="K139" s="24"/>
      <c r="L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row>
    <row r="140" spans="1:44" x14ac:dyDescent="0.3">
      <c r="A140" s="24"/>
      <c r="B140" s="25" t="s">
        <v>411</v>
      </c>
      <c r="C140" s="24" t="s">
        <v>432</v>
      </c>
      <c r="D140" s="24"/>
      <c r="E140" s="72" t="s">
        <v>475</v>
      </c>
      <c r="H140" s="24"/>
      <c r="I140" s="24"/>
      <c r="J140" s="24"/>
      <c r="K140" s="24"/>
      <c r="L140" s="24"/>
      <c r="M140" s="24"/>
      <c r="N140" s="24"/>
      <c r="O140" s="24"/>
      <c r="P140" s="24"/>
      <c r="Q140" s="24"/>
      <c r="R140" s="24"/>
      <c r="S140" s="24"/>
      <c r="T140" s="24"/>
      <c r="U140" s="24"/>
      <c r="V140" s="24"/>
      <c r="W140" s="24"/>
      <c r="X140" s="24"/>
      <c r="Y140" s="24"/>
      <c r="Z140" s="24"/>
      <c r="AA140" s="24"/>
      <c r="AB140" s="24"/>
      <c r="AC140" s="24"/>
      <c r="AD140" s="24"/>
      <c r="AE140" s="24"/>
      <c r="AF140" s="24"/>
      <c r="AG140" s="24"/>
      <c r="AH140" s="24"/>
      <c r="AI140" s="24"/>
      <c r="AJ140" s="24"/>
      <c r="AK140" s="24"/>
      <c r="AL140" s="24"/>
      <c r="AM140" s="24"/>
      <c r="AN140" s="24"/>
      <c r="AO140" s="24"/>
      <c r="AP140" s="24"/>
      <c r="AQ140" s="24"/>
      <c r="AR140" s="24"/>
    </row>
    <row r="141" spans="1:44" x14ac:dyDescent="0.3">
      <c r="A141" s="24"/>
      <c r="B141" s="25" t="s">
        <v>613</v>
      </c>
      <c r="C141" s="24" t="s">
        <v>432</v>
      </c>
      <c r="D141" s="24"/>
      <c r="E141" s="72" t="s">
        <v>481</v>
      </c>
      <c r="H141" s="24"/>
      <c r="I141" s="24"/>
      <c r="J141" s="24"/>
      <c r="K141" s="24"/>
      <c r="L141" s="24"/>
      <c r="M141" s="24"/>
      <c r="N141" s="24"/>
      <c r="O141" s="24"/>
      <c r="P141" s="24"/>
      <c r="Q141" s="24"/>
      <c r="R141" s="24"/>
      <c r="S141" s="24"/>
      <c r="T141" s="24"/>
      <c r="U141" s="24"/>
      <c r="V141" s="24"/>
      <c r="W141" s="24"/>
      <c r="X141" s="24"/>
      <c r="Y141" s="24"/>
      <c r="Z141" s="24"/>
      <c r="AA141" s="24"/>
      <c r="AB141" s="24"/>
      <c r="AC141" s="24"/>
      <c r="AD141" s="24"/>
      <c r="AE141" s="24"/>
      <c r="AF141" s="24"/>
      <c r="AG141" s="24"/>
      <c r="AH141" s="24"/>
      <c r="AI141" s="24"/>
      <c r="AJ141" s="24"/>
      <c r="AK141" s="24"/>
      <c r="AL141" s="24"/>
      <c r="AM141" s="24"/>
      <c r="AN141" s="24"/>
      <c r="AO141" s="24"/>
      <c r="AP141" s="24"/>
      <c r="AQ141" s="24"/>
      <c r="AR141" s="24"/>
    </row>
    <row r="142" spans="1:44" x14ac:dyDescent="0.3">
      <c r="A142" s="24"/>
      <c r="B142" s="25" t="s">
        <v>31</v>
      </c>
      <c r="C142" s="24" t="s">
        <v>432</v>
      </c>
      <c r="D142" s="24"/>
      <c r="E142" s="72" t="s">
        <v>482</v>
      </c>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row>
    <row r="143" spans="1:44" x14ac:dyDescent="0.3">
      <c r="A143" s="24"/>
      <c r="B143" s="25" t="s">
        <v>32</v>
      </c>
      <c r="C143" s="24" t="s">
        <v>432</v>
      </c>
      <c r="D143" s="24"/>
      <c r="E143" s="72" t="s">
        <v>483</v>
      </c>
      <c r="H143" s="24"/>
      <c r="I143" s="24"/>
      <c r="J143" s="24"/>
      <c r="K143" s="24"/>
      <c r="L143" s="24"/>
      <c r="M143" s="24"/>
      <c r="N143" s="24"/>
      <c r="O143" s="24"/>
      <c r="P143" s="24"/>
      <c r="Q143" s="24"/>
      <c r="R143" s="24"/>
      <c r="S143" s="24"/>
      <c r="T143" s="24"/>
      <c r="U143" s="24"/>
      <c r="V143" s="24"/>
      <c r="W143" s="24"/>
      <c r="X143" s="24"/>
      <c r="Y143" s="24"/>
      <c r="Z143" s="24"/>
      <c r="AA143" s="24"/>
      <c r="AB143" s="24"/>
      <c r="AC143" s="24"/>
      <c r="AD143" s="24"/>
      <c r="AE143" s="24"/>
      <c r="AF143" s="24"/>
      <c r="AG143" s="24"/>
      <c r="AH143" s="24"/>
      <c r="AI143" s="24"/>
      <c r="AJ143" s="24"/>
      <c r="AK143" s="24"/>
      <c r="AL143" s="24"/>
      <c r="AM143" s="24"/>
      <c r="AN143" s="24"/>
      <c r="AO143" s="24"/>
      <c r="AP143" s="24"/>
      <c r="AQ143" s="24"/>
      <c r="AR143" s="24"/>
    </row>
    <row r="144" spans="1:44" ht="18" thickBot="1" x14ac:dyDescent="0.35">
      <c r="A144" s="24"/>
      <c r="B144" s="27" t="s">
        <v>422</v>
      </c>
      <c r="C144" s="35" t="s">
        <v>432</v>
      </c>
      <c r="D144" s="35"/>
      <c r="E144" s="73" t="s">
        <v>484</v>
      </c>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row>
    <row r="145" spans="1:44" ht="15.75" customHeight="1" x14ac:dyDescent="0.3">
      <c r="A145" s="25"/>
      <c r="B145" s="46" t="s">
        <v>23</v>
      </c>
      <c r="C145" s="64" t="s">
        <v>433</v>
      </c>
      <c r="D145" s="8" t="s">
        <v>436</v>
      </c>
      <c r="E145" s="71" t="s">
        <v>467</v>
      </c>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row>
    <row r="146" spans="1:44" ht="15.75" customHeight="1" x14ac:dyDescent="0.3">
      <c r="A146" s="25"/>
      <c r="B146" s="25" t="s">
        <v>393</v>
      </c>
      <c r="C146" s="24" t="s">
        <v>433</v>
      </c>
      <c r="E146" s="72" t="s">
        <v>468</v>
      </c>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row>
    <row r="147" spans="1:44" ht="15.75" customHeight="1" x14ac:dyDescent="0.3">
      <c r="A147" s="25"/>
      <c r="B147" s="25" t="s">
        <v>395</v>
      </c>
      <c r="C147" s="24" t="s">
        <v>433</v>
      </c>
      <c r="E147" s="72" t="s">
        <v>469</v>
      </c>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row>
    <row r="148" spans="1:44" x14ac:dyDescent="0.3">
      <c r="A148" s="24"/>
      <c r="B148" s="25" t="s">
        <v>415</v>
      </c>
      <c r="C148" s="24" t="s">
        <v>433</v>
      </c>
      <c r="D148" s="24"/>
      <c r="E148" s="72" t="s">
        <v>477</v>
      </c>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row>
    <row r="149" spans="1:44" x14ac:dyDescent="0.3">
      <c r="A149" s="24"/>
      <c r="B149" s="25" t="s">
        <v>416</v>
      </c>
      <c r="C149" s="24" t="s">
        <v>433</v>
      </c>
      <c r="D149" s="24"/>
      <c r="E149" s="72" t="s">
        <v>478</v>
      </c>
      <c r="H149" s="24"/>
      <c r="I149" s="24"/>
      <c r="J149" s="24"/>
      <c r="K149" s="24"/>
      <c r="L149" s="24"/>
      <c r="M149" s="24"/>
      <c r="N149" s="24"/>
      <c r="O149" s="24"/>
      <c r="P149" s="24"/>
      <c r="Q149" s="24"/>
      <c r="R149" s="24"/>
      <c r="S149" s="24"/>
      <c r="T149" s="24"/>
      <c r="U149" s="24"/>
      <c r="V149" s="24"/>
      <c r="W149" s="24"/>
      <c r="X149" s="24"/>
      <c r="Y149" s="24"/>
      <c r="Z149" s="24"/>
      <c r="AA149" s="24"/>
      <c r="AB149" s="24"/>
      <c r="AC149" s="24"/>
      <c r="AD149" s="24"/>
      <c r="AE149" s="24"/>
      <c r="AF149" s="24"/>
      <c r="AG149" s="24"/>
      <c r="AH149" s="24"/>
      <c r="AI149" s="24"/>
      <c r="AJ149" s="24"/>
      <c r="AK149" s="24"/>
      <c r="AL149" s="24"/>
      <c r="AM149" s="24"/>
      <c r="AN149" s="24"/>
      <c r="AO149" s="24"/>
      <c r="AP149" s="24"/>
      <c r="AQ149" s="24"/>
      <c r="AR149" s="24"/>
    </row>
    <row r="150" spans="1:44" x14ac:dyDescent="0.3">
      <c r="A150" s="24"/>
      <c r="B150" s="25" t="s">
        <v>417</v>
      </c>
      <c r="C150" s="24" t="s">
        <v>433</v>
      </c>
      <c r="D150" s="24"/>
      <c r="E150" s="72" t="s">
        <v>479</v>
      </c>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row>
    <row r="151" spans="1:44" x14ac:dyDescent="0.3">
      <c r="A151" s="24"/>
      <c r="B151" s="25" t="s">
        <v>418</v>
      </c>
      <c r="C151" s="24" t="s">
        <v>433</v>
      </c>
      <c r="D151" s="24"/>
      <c r="E151" s="72" t="s">
        <v>480</v>
      </c>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row>
    <row r="152" spans="1:44" x14ac:dyDescent="0.3">
      <c r="A152" s="24"/>
      <c r="B152" s="25" t="s">
        <v>423</v>
      </c>
      <c r="C152" s="24" t="s">
        <v>433</v>
      </c>
      <c r="D152" s="24"/>
      <c r="E152" s="72" t="s">
        <v>485</v>
      </c>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row>
    <row r="153" spans="1:44" ht="18" thickBot="1" x14ac:dyDescent="0.35">
      <c r="A153" s="24"/>
      <c r="B153" s="27" t="s">
        <v>424</v>
      </c>
      <c r="C153" s="35" t="s">
        <v>433</v>
      </c>
      <c r="D153" s="35"/>
      <c r="E153" s="73" t="s">
        <v>486</v>
      </c>
      <c r="H153" s="24"/>
      <c r="I153" s="24"/>
      <c r="J153" s="24"/>
      <c r="K153" s="24"/>
      <c r="L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row>
    <row r="154" spans="1:44" x14ac:dyDescent="0.3">
      <c r="A154" s="24"/>
      <c r="B154" s="46">
        <v>0</v>
      </c>
      <c r="C154" s="64"/>
      <c r="D154" s="64"/>
      <c r="E154" s="71" t="s">
        <v>333</v>
      </c>
      <c r="G154" s="24"/>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row>
    <row r="155" spans="1:44" x14ac:dyDescent="0.3">
      <c r="A155" s="24"/>
      <c r="B155" s="25">
        <v>1</v>
      </c>
      <c r="C155" s="24"/>
      <c r="D155" s="24"/>
      <c r="E155" s="72" t="s">
        <v>334</v>
      </c>
      <c r="G155" s="24"/>
      <c r="H155" s="24"/>
      <c r="I155" s="24"/>
      <c r="J155" s="24"/>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row>
    <row r="156" spans="1:44" x14ac:dyDescent="0.3">
      <c r="A156" s="24"/>
      <c r="B156" s="25">
        <v>2</v>
      </c>
      <c r="C156" s="24"/>
      <c r="D156" s="24"/>
      <c r="E156" s="72" t="s">
        <v>335</v>
      </c>
      <c r="G156" s="24"/>
      <c r="H156" s="24"/>
      <c r="I156" s="24"/>
      <c r="J156" s="24"/>
      <c r="K156" s="24"/>
      <c r="L156" s="24"/>
      <c r="M156" s="24"/>
      <c r="N156" s="24"/>
      <c r="O156" s="24"/>
      <c r="P156" s="24"/>
      <c r="Q156" s="24"/>
      <c r="R156" s="24"/>
      <c r="S156" s="24"/>
      <c r="T156" s="24"/>
      <c r="U156" s="24"/>
      <c r="V156" s="24"/>
      <c r="W156" s="24"/>
      <c r="X156" s="24"/>
      <c r="Y156" s="24"/>
      <c r="Z156" s="24"/>
      <c r="AA156" s="24"/>
      <c r="AB156" s="24"/>
      <c r="AC156" s="24"/>
      <c r="AD156" s="24"/>
      <c r="AE156" s="24"/>
      <c r="AF156" s="24"/>
      <c r="AG156" s="24"/>
      <c r="AH156" s="24"/>
      <c r="AI156" s="24"/>
      <c r="AJ156" s="24"/>
      <c r="AK156" s="24"/>
      <c r="AL156" s="24"/>
      <c r="AM156" s="24"/>
      <c r="AN156" s="24"/>
      <c r="AO156" s="24"/>
      <c r="AP156" s="24"/>
      <c r="AQ156" s="24"/>
      <c r="AR156" s="24"/>
    </row>
    <row r="157" spans="1:44" ht="18" thickBot="1" x14ac:dyDescent="0.35">
      <c r="A157" s="24"/>
      <c r="B157" s="27">
        <v>3</v>
      </c>
      <c r="C157" s="35"/>
      <c r="D157" s="35"/>
      <c r="E157" s="73" t="s">
        <v>336</v>
      </c>
      <c r="F157" s="24"/>
      <c r="G157" s="24"/>
      <c r="H157" s="24"/>
      <c r="I157" s="24"/>
      <c r="J157" s="24"/>
      <c r="K157" s="24"/>
      <c r="L157" s="24"/>
      <c r="M157" s="24"/>
      <c r="N157" s="24"/>
      <c r="O157" s="24"/>
      <c r="P157" s="24"/>
      <c r="Q157" s="24"/>
      <c r="R157" s="24"/>
      <c r="S157" s="24"/>
      <c r="T157" s="24"/>
      <c r="U157" s="24"/>
      <c r="V157" s="24"/>
      <c r="W157" s="24"/>
      <c r="X157" s="24"/>
      <c r="Y157" s="24"/>
      <c r="Z157" s="24"/>
      <c r="AA157" s="24"/>
      <c r="AB157" s="24"/>
      <c r="AC157" s="24"/>
      <c r="AD157" s="24"/>
      <c r="AE157" s="24"/>
      <c r="AF157" s="24"/>
      <c r="AG157" s="24"/>
      <c r="AH157" s="24"/>
      <c r="AI157" s="24"/>
      <c r="AJ157" s="24"/>
      <c r="AK157" s="24"/>
      <c r="AL157" s="24"/>
      <c r="AM157" s="24"/>
      <c r="AN157" s="24"/>
      <c r="AO157" s="24"/>
      <c r="AP157" s="24"/>
      <c r="AQ157" s="24"/>
      <c r="AR157" s="24"/>
    </row>
    <row r="158" spans="1:44" x14ac:dyDescent="0.3">
      <c r="A158" s="24"/>
      <c r="B158" s="24"/>
      <c r="C158" s="24"/>
      <c r="D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row>
    <row r="159" spans="1:44" x14ac:dyDescent="0.3">
      <c r="A159" s="24"/>
      <c r="B159" s="24"/>
      <c r="C159" s="24"/>
      <c r="D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row>
    <row r="160" spans="1:44" x14ac:dyDescent="0.3">
      <c r="A160" s="24"/>
      <c r="B160" s="24" t="s">
        <v>437</v>
      </c>
      <c r="C160" s="24"/>
      <c r="D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row>
    <row r="161" spans="1:44" ht="27.75" customHeight="1" x14ac:dyDescent="0.3">
      <c r="A161" s="24"/>
      <c r="B161" s="24"/>
      <c r="C161" s="24"/>
      <c r="D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row>
    <row r="162" spans="1:44" ht="18" thickBot="1" x14ac:dyDescent="0.35">
      <c r="B162" s="24" t="s">
        <v>438</v>
      </c>
      <c r="C162" s="24"/>
      <c r="D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row>
    <row r="163" spans="1:44" ht="18" thickBot="1" x14ac:dyDescent="0.35">
      <c r="A163" s="24"/>
      <c r="B163" s="34" t="s">
        <v>97</v>
      </c>
      <c r="C163" s="66"/>
      <c r="D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row>
    <row r="164" spans="1:44" x14ac:dyDescent="0.3">
      <c r="A164" s="24"/>
      <c r="B164" s="130" t="s">
        <v>99</v>
      </c>
      <c r="C164" s="26">
        <v>1</v>
      </c>
      <c r="D164" s="24"/>
      <c r="F164" s="24"/>
      <c r="G164" s="24"/>
      <c r="H164" s="24"/>
      <c r="I164" s="24"/>
      <c r="J164" s="24"/>
      <c r="K164" s="24"/>
      <c r="L164" s="24"/>
      <c r="M164" s="24"/>
      <c r="N164" s="24"/>
      <c r="O164" s="24"/>
      <c r="P164" s="24"/>
      <c r="Q164" s="24"/>
      <c r="R164" s="24"/>
      <c r="S164" s="24"/>
      <c r="T164" s="24"/>
      <c r="U164" s="24"/>
      <c r="V164" s="24"/>
      <c r="W164" s="24"/>
      <c r="X164" s="24"/>
      <c r="Y164" s="24"/>
      <c r="Z164" s="24"/>
      <c r="AA164" s="24"/>
      <c r="AB164" s="24"/>
      <c r="AC164" s="24"/>
      <c r="AD164" s="24"/>
      <c r="AE164" s="24"/>
      <c r="AF164" s="24"/>
      <c r="AG164" s="24"/>
      <c r="AH164" s="24"/>
      <c r="AI164" s="24"/>
      <c r="AJ164" s="24"/>
      <c r="AK164" s="24"/>
      <c r="AL164" s="24"/>
      <c r="AM164" s="24"/>
      <c r="AN164" s="24"/>
      <c r="AO164" s="24"/>
      <c r="AP164" s="24"/>
      <c r="AQ164" s="24"/>
      <c r="AR164" s="24"/>
    </row>
    <row r="165" spans="1:44" x14ac:dyDescent="0.3">
      <c r="A165" s="24"/>
      <c r="B165" s="130" t="s">
        <v>47</v>
      </c>
      <c r="C165" s="26">
        <v>2</v>
      </c>
      <c r="D165" s="24"/>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c r="AH165" s="24"/>
      <c r="AI165" s="24"/>
      <c r="AJ165" s="24"/>
      <c r="AK165" s="24"/>
      <c r="AL165" s="24"/>
      <c r="AM165" s="24"/>
      <c r="AN165" s="24"/>
      <c r="AO165" s="24"/>
      <c r="AP165" s="24"/>
      <c r="AQ165" s="24"/>
      <c r="AR165" s="24"/>
    </row>
    <row r="166" spans="1:44" ht="18" thickBot="1" x14ac:dyDescent="0.35">
      <c r="A166" s="24"/>
      <c r="B166" s="131" t="s">
        <v>100</v>
      </c>
      <c r="C166" s="28">
        <v>3</v>
      </c>
      <c r="D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row>
    <row r="167" spans="1:44" x14ac:dyDescent="0.3">
      <c r="A167" s="24"/>
      <c r="B167" s="24"/>
      <c r="C167" s="24"/>
      <c r="D167" s="24"/>
      <c r="F167" s="24"/>
      <c r="G167" s="24"/>
      <c r="H167" s="24"/>
      <c r="I167" s="24"/>
      <c r="J167" s="24"/>
      <c r="K167" s="24"/>
      <c r="L167" s="24"/>
      <c r="M167" s="24"/>
      <c r="N167" s="24"/>
      <c r="O167" s="24"/>
      <c r="P167" s="24"/>
      <c r="Q167" s="24"/>
      <c r="R167" s="24"/>
      <c r="S167" s="24"/>
      <c r="T167" s="24"/>
      <c r="U167" s="24"/>
      <c r="V167" s="24"/>
      <c r="W167" s="24"/>
      <c r="X167" s="24"/>
      <c r="Y167" s="24"/>
      <c r="Z167" s="24"/>
      <c r="AA167" s="24"/>
      <c r="AB167" s="24"/>
      <c r="AC167" s="24"/>
      <c r="AD167" s="24"/>
      <c r="AE167" s="24"/>
      <c r="AF167" s="24"/>
      <c r="AG167" s="24"/>
      <c r="AH167" s="24"/>
      <c r="AI167" s="24"/>
      <c r="AJ167" s="24"/>
      <c r="AK167" s="24"/>
      <c r="AL167" s="24"/>
      <c r="AM167" s="24"/>
      <c r="AN167" s="24"/>
      <c r="AO167" s="24"/>
      <c r="AP167" s="24"/>
      <c r="AQ167" s="24"/>
      <c r="AR167" s="24"/>
    </row>
    <row r="168" spans="1:44" x14ac:dyDescent="0.3">
      <c r="A168" s="24"/>
      <c r="B168" s="24"/>
      <c r="C168" s="24"/>
      <c r="D168" s="24"/>
      <c r="F168" s="24"/>
      <c r="G168" s="24"/>
      <c r="H168" s="24"/>
      <c r="I168" s="24"/>
      <c r="J168" s="24"/>
      <c r="K168" s="24"/>
      <c r="L168" s="24"/>
      <c r="M168" s="24"/>
      <c r="N168" s="24"/>
      <c r="O168" s="24"/>
      <c r="P168" s="24"/>
      <c r="Q168" s="24"/>
      <c r="R168" s="24"/>
      <c r="S168" s="24"/>
      <c r="T168" s="24"/>
      <c r="U168" s="24"/>
      <c r="V168" s="24"/>
      <c r="W168" s="24"/>
      <c r="X168" s="24"/>
      <c r="Y168" s="24"/>
      <c r="Z168" s="24"/>
      <c r="AA168" s="24"/>
      <c r="AB168" s="24"/>
      <c r="AC168" s="24"/>
      <c r="AD168" s="24"/>
      <c r="AE168" s="24"/>
      <c r="AF168" s="24"/>
      <c r="AG168" s="24"/>
      <c r="AH168" s="24"/>
      <c r="AI168" s="24"/>
      <c r="AJ168" s="24"/>
      <c r="AK168" s="24"/>
      <c r="AL168" s="24"/>
      <c r="AM168" s="24"/>
      <c r="AN168" s="24"/>
      <c r="AO168" s="24"/>
      <c r="AP168" s="24"/>
      <c r="AQ168" s="24"/>
      <c r="AR168" s="24"/>
    </row>
    <row r="169" spans="1:44" x14ac:dyDescent="0.3">
      <c r="A169" s="24"/>
      <c r="B169" s="24"/>
      <c r="C169" s="24"/>
      <c r="D169" s="24"/>
      <c r="F169" s="24"/>
      <c r="G169" s="24"/>
      <c r="H169" s="24"/>
      <c r="I169" s="24"/>
      <c r="J169" s="24"/>
      <c r="K169" s="24"/>
      <c r="L169" s="24"/>
      <c r="M169" s="24"/>
      <c r="N169" s="24"/>
      <c r="O169" s="24"/>
      <c r="P169" s="24"/>
      <c r="Q169" s="24"/>
      <c r="R169" s="24"/>
      <c r="S169" s="24"/>
      <c r="T169" s="24"/>
      <c r="U169" s="24"/>
      <c r="V169" s="24"/>
      <c r="W169" s="24"/>
      <c r="X169" s="24"/>
      <c r="Y169" s="24"/>
      <c r="Z169" s="24"/>
      <c r="AA169" s="24"/>
      <c r="AB169" s="24"/>
      <c r="AC169" s="24"/>
      <c r="AD169" s="24"/>
      <c r="AE169" s="24"/>
      <c r="AF169" s="24"/>
      <c r="AG169" s="24"/>
      <c r="AH169" s="24"/>
      <c r="AI169" s="24"/>
      <c r="AJ169" s="24"/>
      <c r="AK169" s="24"/>
      <c r="AL169" s="24"/>
      <c r="AM169" s="24"/>
      <c r="AN169" s="24"/>
      <c r="AO169" s="24"/>
      <c r="AP169" s="24"/>
      <c r="AQ169" s="24"/>
      <c r="AR169" s="24"/>
    </row>
    <row r="170" spans="1:44" x14ac:dyDescent="0.3">
      <c r="A170" s="24"/>
      <c r="B170" s="24"/>
      <c r="C170" s="24"/>
      <c r="D170" s="24"/>
      <c r="F170" s="24"/>
      <c r="G170" s="24"/>
      <c r="H170" s="24"/>
      <c r="I170" s="24"/>
      <c r="J170" s="24"/>
      <c r="K170" s="24"/>
      <c r="L170" s="24"/>
      <c r="M170" s="24"/>
      <c r="N170" s="24"/>
      <c r="O170" s="24"/>
      <c r="P170" s="24"/>
      <c r="Q170" s="24"/>
      <c r="R170" s="24"/>
      <c r="S170" s="24"/>
      <c r="T170" s="24"/>
      <c r="U170" s="24"/>
      <c r="V170" s="24"/>
      <c r="W170" s="24"/>
      <c r="X170" s="24"/>
      <c r="Y170" s="24"/>
      <c r="Z170" s="24"/>
      <c r="AA170" s="24"/>
      <c r="AB170" s="24"/>
      <c r="AC170" s="24"/>
      <c r="AD170" s="24"/>
      <c r="AE170" s="24"/>
      <c r="AF170" s="24"/>
      <c r="AG170" s="24"/>
      <c r="AH170" s="24"/>
      <c r="AI170" s="24"/>
      <c r="AJ170" s="24"/>
      <c r="AK170" s="24"/>
      <c r="AL170" s="24"/>
      <c r="AM170" s="24"/>
      <c r="AN170" s="24"/>
      <c r="AO170" s="24"/>
      <c r="AP170" s="24"/>
      <c r="AQ170" s="24"/>
      <c r="AR170" s="24"/>
    </row>
    <row r="171" spans="1:44" ht="18" thickBot="1" x14ac:dyDescent="0.35">
      <c r="A171" s="24" t="s">
        <v>8</v>
      </c>
      <c r="C171" s="24"/>
      <c r="D171" s="24"/>
      <c r="F171" s="24"/>
      <c r="G171" s="24"/>
      <c r="H171" s="24"/>
      <c r="I171" s="24"/>
      <c r="J171" s="24"/>
      <c r="K171" s="24"/>
      <c r="L171" s="24"/>
      <c r="M171" s="24"/>
      <c r="N171" s="24"/>
      <c r="O171" s="24"/>
      <c r="P171" s="24"/>
      <c r="Q171" s="24"/>
      <c r="R171" s="24"/>
      <c r="S171" s="24"/>
      <c r="T171" s="24"/>
      <c r="U171" s="24"/>
      <c r="V171" s="24"/>
      <c r="W171" s="24"/>
      <c r="X171" s="24"/>
      <c r="Y171" s="24"/>
      <c r="Z171" s="24"/>
      <c r="AA171" s="24"/>
      <c r="AB171" s="24"/>
      <c r="AC171" s="24"/>
      <c r="AD171" s="24"/>
      <c r="AE171" s="24"/>
      <c r="AF171" s="24"/>
      <c r="AG171" s="24"/>
      <c r="AH171" s="24"/>
      <c r="AI171" s="24"/>
      <c r="AJ171" s="24"/>
      <c r="AK171" s="24"/>
      <c r="AL171" s="24"/>
      <c r="AM171" s="24"/>
      <c r="AN171" s="24"/>
      <c r="AO171" s="24"/>
      <c r="AP171" s="24"/>
      <c r="AQ171" s="24"/>
      <c r="AR171" s="24"/>
    </row>
    <row r="172" spans="1:44" ht="15.6" thickBot="1" x14ac:dyDescent="0.3">
      <c r="A172" s="24"/>
      <c r="B172" s="43" t="s">
        <v>489</v>
      </c>
      <c r="C172" s="70" t="s">
        <v>490</v>
      </c>
      <c r="D172" s="70" t="s">
        <v>491</v>
      </c>
      <c r="E172" s="44" t="s">
        <v>492</v>
      </c>
      <c r="F172" s="24"/>
      <c r="G172" s="24"/>
      <c r="H172" s="24"/>
      <c r="I172" s="24"/>
      <c r="J172" s="24"/>
      <c r="K172" s="24"/>
      <c r="L172" s="24"/>
      <c r="M172" s="24"/>
      <c r="N172" s="24"/>
      <c r="O172" s="24"/>
      <c r="P172" s="24"/>
      <c r="Q172" s="24"/>
      <c r="R172" s="24"/>
      <c r="S172" s="24"/>
      <c r="T172" s="24"/>
      <c r="U172" s="24"/>
      <c r="V172" s="24"/>
      <c r="W172" s="24"/>
      <c r="X172" s="24"/>
      <c r="Y172" s="24"/>
      <c r="Z172" s="24"/>
      <c r="AA172" s="24"/>
      <c r="AB172" s="24"/>
      <c r="AC172" s="24"/>
      <c r="AD172" s="24"/>
      <c r="AE172" s="24"/>
      <c r="AF172" s="24"/>
      <c r="AG172" s="24"/>
      <c r="AH172" s="24"/>
      <c r="AI172" s="24"/>
      <c r="AJ172" s="24"/>
      <c r="AK172" s="24"/>
      <c r="AL172" s="24"/>
      <c r="AM172" s="24"/>
      <c r="AN172" s="24"/>
      <c r="AO172" s="24"/>
      <c r="AP172" s="24"/>
      <c r="AQ172" s="24"/>
      <c r="AR172" s="24"/>
    </row>
    <row r="173" spans="1:44" ht="15" x14ac:dyDescent="0.25">
      <c r="A173" s="24"/>
      <c r="B173" s="46" t="s">
        <v>27</v>
      </c>
      <c r="C173" s="84" t="s">
        <v>399</v>
      </c>
      <c r="D173" s="46" t="s">
        <v>417</v>
      </c>
      <c r="E173" s="84" t="s">
        <v>32</v>
      </c>
      <c r="F173" s="24"/>
      <c r="G173" s="24"/>
      <c r="H173" s="24"/>
      <c r="I173" s="24"/>
      <c r="J173" s="24"/>
      <c r="K173" s="24"/>
      <c r="L173" s="24"/>
      <c r="M173" s="24"/>
      <c r="N173" s="24"/>
      <c r="O173" s="24"/>
      <c r="P173" s="24"/>
      <c r="Q173" s="24"/>
      <c r="R173" s="24"/>
      <c r="S173" s="24"/>
      <c r="T173" s="24"/>
      <c r="U173" s="24"/>
      <c r="V173" s="24"/>
      <c r="W173" s="24"/>
      <c r="X173" s="24"/>
      <c r="Y173" s="24"/>
      <c r="Z173" s="24"/>
      <c r="AA173" s="24"/>
      <c r="AB173" s="24"/>
      <c r="AC173" s="24"/>
      <c r="AD173" s="24"/>
      <c r="AE173" s="24"/>
      <c r="AF173" s="24"/>
      <c r="AG173" s="24"/>
      <c r="AH173" s="24"/>
      <c r="AI173" s="24"/>
      <c r="AJ173" s="24"/>
      <c r="AK173" s="24"/>
      <c r="AL173" s="24"/>
      <c r="AM173" s="24"/>
      <c r="AN173" s="24"/>
      <c r="AO173" s="24"/>
      <c r="AP173" s="24"/>
      <c r="AQ173" s="24"/>
      <c r="AR173" s="24"/>
    </row>
    <row r="174" spans="1:44" ht="15" x14ac:dyDescent="0.25">
      <c r="A174" s="24"/>
      <c r="B174" s="25" t="s">
        <v>25</v>
      </c>
      <c r="C174" s="41" t="s">
        <v>397</v>
      </c>
      <c r="D174" s="25" t="s">
        <v>416</v>
      </c>
      <c r="E174" s="41" t="s">
        <v>31</v>
      </c>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row>
    <row r="175" spans="1:44" ht="15" x14ac:dyDescent="0.25">
      <c r="A175" s="24"/>
      <c r="B175" s="25" t="s">
        <v>390</v>
      </c>
      <c r="C175" s="41" t="s">
        <v>23</v>
      </c>
      <c r="D175" s="25" t="s">
        <v>415</v>
      </c>
      <c r="E175" s="41" t="s">
        <v>30</v>
      </c>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row>
    <row r="176" spans="1:44" ht="15" x14ac:dyDescent="0.25">
      <c r="A176" s="24"/>
      <c r="B176" s="25" t="s">
        <v>414</v>
      </c>
      <c r="C176" s="41" t="s">
        <v>384</v>
      </c>
      <c r="D176" s="25" t="s">
        <v>393</v>
      </c>
      <c r="E176" s="41" t="s">
        <v>395</v>
      </c>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row>
    <row r="177" spans="1:44" ht="15" x14ac:dyDescent="0.25">
      <c r="A177" s="24"/>
      <c r="B177" s="25" t="s">
        <v>380</v>
      </c>
      <c r="C177" s="41" t="s">
        <v>425</v>
      </c>
      <c r="D177" s="25" t="s">
        <v>418</v>
      </c>
      <c r="E177" s="41" t="s">
        <v>427</v>
      </c>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row>
    <row r="178" spans="1:44" ht="15" x14ac:dyDescent="0.25">
      <c r="A178" s="24"/>
      <c r="B178" s="25" t="s">
        <v>387</v>
      </c>
      <c r="C178" s="41" t="s">
        <v>400</v>
      </c>
      <c r="D178" s="25"/>
      <c r="E178" s="41" t="s">
        <v>424</v>
      </c>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row>
    <row r="179" spans="1:44" ht="15" x14ac:dyDescent="0.25">
      <c r="A179" s="24"/>
      <c r="B179" s="25" t="s">
        <v>413</v>
      </c>
      <c r="C179" s="41" t="s">
        <v>386</v>
      </c>
      <c r="D179" s="24"/>
      <c r="E179" s="41" t="s">
        <v>422</v>
      </c>
      <c r="F179" s="24"/>
      <c r="G179" s="24"/>
      <c r="H179" s="24"/>
      <c r="I179" s="24"/>
      <c r="J179" s="24"/>
      <c r="K179" s="24"/>
      <c r="L179" s="24"/>
      <c r="M179" s="24"/>
      <c r="N179" s="24"/>
      <c r="O179" s="24"/>
      <c r="P179" s="24"/>
      <c r="Q179" s="24"/>
      <c r="R179" s="24"/>
      <c r="S179" s="24"/>
      <c r="T179" s="24"/>
      <c r="U179" s="24"/>
      <c r="V179" s="24"/>
      <c r="W179" s="24"/>
      <c r="X179" s="24"/>
      <c r="Y179" s="24"/>
      <c r="Z179" s="24"/>
      <c r="AA179" s="24"/>
      <c r="AB179" s="24"/>
      <c r="AC179" s="24"/>
      <c r="AD179" s="24"/>
      <c r="AE179" s="24"/>
      <c r="AF179" s="24"/>
      <c r="AG179" s="24"/>
      <c r="AH179" s="24"/>
      <c r="AI179" s="24"/>
      <c r="AJ179" s="24"/>
      <c r="AK179" s="24"/>
      <c r="AL179" s="24"/>
      <c r="AM179" s="24"/>
      <c r="AN179" s="24"/>
      <c r="AO179" s="24"/>
      <c r="AP179" s="24"/>
      <c r="AQ179" s="24"/>
      <c r="AR179" s="24"/>
    </row>
    <row r="180" spans="1:44" ht="15" x14ac:dyDescent="0.25">
      <c r="A180" s="24"/>
      <c r="B180" s="25" t="s">
        <v>28</v>
      </c>
      <c r="C180" s="41" t="s">
        <v>26</v>
      </c>
      <c r="E180" s="41" t="s">
        <v>421</v>
      </c>
      <c r="F180" s="24"/>
      <c r="G180" s="24"/>
      <c r="H180" s="24"/>
      <c r="I180" s="24"/>
      <c r="J180" s="24"/>
      <c r="K180" s="24"/>
      <c r="L180" s="24"/>
      <c r="M180" s="24"/>
      <c r="N180" s="24"/>
      <c r="O180" s="24"/>
      <c r="P180" s="24"/>
      <c r="Q180" s="24"/>
      <c r="R180" s="24"/>
      <c r="S180" s="24"/>
      <c r="T180" s="24"/>
      <c r="U180" s="24"/>
      <c r="V180" s="24"/>
      <c r="W180" s="24"/>
      <c r="X180" s="24"/>
      <c r="Y180" s="24"/>
      <c r="Z180" s="24"/>
      <c r="AA180" s="24"/>
      <c r="AB180" s="24"/>
      <c r="AC180" s="24"/>
      <c r="AD180" s="24"/>
      <c r="AE180" s="24"/>
      <c r="AF180" s="24"/>
      <c r="AG180" s="24"/>
      <c r="AH180" s="24"/>
      <c r="AI180" s="24"/>
      <c r="AJ180" s="24"/>
      <c r="AK180" s="24"/>
      <c r="AL180" s="24"/>
      <c r="AM180" s="24"/>
      <c r="AN180" s="24"/>
      <c r="AO180" s="24"/>
      <c r="AP180" s="24"/>
      <c r="AQ180" s="24"/>
      <c r="AR180" s="24"/>
    </row>
    <row r="181" spans="1:44" ht="15" x14ac:dyDescent="0.25">
      <c r="A181" s="24"/>
      <c r="B181" s="25" t="s">
        <v>392</v>
      </c>
      <c r="C181" s="41" t="s">
        <v>398</v>
      </c>
      <c r="E181" s="41" t="s">
        <v>33</v>
      </c>
      <c r="F181" s="24"/>
      <c r="G181" s="24"/>
      <c r="H181" s="24"/>
      <c r="I181" s="24"/>
      <c r="J181" s="24"/>
      <c r="K181" s="24"/>
      <c r="L181" s="24"/>
      <c r="M181" s="24"/>
      <c r="N181" s="24"/>
      <c r="O181" s="24"/>
      <c r="P181" s="24"/>
      <c r="Q181" s="24"/>
      <c r="R181" s="24"/>
      <c r="S181" s="24"/>
      <c r="T181" s="24"/>
      <c r="U181" s="24"/>
      <c r="V181" s="24"/>
      <c r="W181" s="24"/>
      <c r="X181" s="24"/>
      <c r="Y181" s="24"/>
      <c r="Z181" s="24"/>
      <c r="AA181" s="24"/>
      <c r="AB181" s="24"/>
      <c r="AC181" s="24"/>
      <c r="AD181" s="24"/>
      <c r="AE181" s="24"/>
      <c r="AF181" s="24"/>
      <c r="AG181" s="24"/>
      <c r="AH181" s="24"/>
      <c r="AI181" s="24"/>
      <c r="AJ181" s="24"/>
      <c r="AK181" s="24"/>
      <c r="AL181" s="24"/>
      <c r="AM181" s="24"/>
      <c r="AN181" s="24"/>
      <c r="AO181" s="24"/>
      <c r="AP181" s="24"/>
      <c r="AQ181" s="24"/>
      <c r="AR181" s="24"/>
    </row>
    <row r="182" spans="1:44" ht="15" x14ac:dyDescent="0.25">
      <c r="A182" s="24"/>
      <c r="B182" s="25" t="s">
        <v>426</v>
      </c>
      <c r="C182" s="41" t="s">
        <v>24</v>
      </c>
      <c r="E182" s="41" t="s">
        <v>423</v>
      </c>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row>
    <row r="183" spans="1:44" ht="15" x14ac:dyDescent="0.25">
      <c r="A183" s="24"/>
      <c r="B183" s="25" t="s">
        <v>388</v>
      </c>
      <c r="C183" s="41" t="s">
        <v>406</v>
      </c>
      <c r="D183" s="25"/>
      <c r="E183" s="41" t="s">
        <v>613</v>
      </c>
      <c r="F183" s="24"/>
      <c r="G183" s="24"/>
      <c r="H183" s="24"/>
      <c r="I183" s="24"/>
      <c r="J183" s="24"/>
      <c r="K183" s="24"/>
      <c r="L183" s="24"/>
      <c r="M183" s="24"/>
      <c r="N183" s="24"/>
      <c r="O183" s="24"/>
      <c r="P183" s="24"/>
      <c r="Q183" s="24"/>
      <c r="R183" s="24"/>
      <c r="S183" s="24"/>
      <c r="T183" s="24"/>
      <c r="U183" s="24"/>
      <c r="V183" s="24"/>
      <c r="W183" s="24"/>
      <c r="X183" s="24"/>
      <c r="Y183" s="24"/>
      <c r="Z183" s="24"/>
      <c r="AA183" s="24"/>
      <c r="AB183" s="24"/>
      <c r="AC183" s="24"/>
      <c r="AD183" s="24"/>
      <c r="AE183" s="24"/>
      <c r="AF183" s="24"/>
      <c r="AG183" s="24"/>
      <c r="AH183" s="24"/>
      <c r="AI183" s="24"/>
      <c r="AJ183" s="24"/>
      <c r="AK183" s="24"/>
      <c r="AL183" s="24"/>
      <c r="AM183" s="24"/>
      <c r="AN183" s="24"/>
      <c r="AO183" s="24"/>
      <c r="AP183" s="24"/>
      <c r="AQ183" s="24"/>
      <c r="AR183" s="24"/>
    </row>
    <row r="184" spans="1:44" ht="15" x14ac:dyDescent="0.25">
      <c r="A184" s="24"/>
      <c r="B184" s="25" t="s">
        <v>410</v>
      </c>
      <c r="C184" s="41" t="s">
        <v>29</v>
      </c>
      <c r="D184" s="25"/>
      <c r="E184" s="41" t="s">
        <v>394</v>
      </c>
      <c r="F184" s="24"/>
      <c r="G184" s="24"/>
      <c r="H184" s="24"/>
      <c r="I184" s="24"/>
      <c r="J184" s="24"/>
      <c r="K184" s="24"/>
      <c r="L184" s="24"/>
      <c r="M184" s="24"/>
      <c r="N184" s="24"/>
      <c r="O184" s="24"/>
      <c r="P184" s="24"/>
      <c r="Q184" s="24"/>
      <c r="R184" s="24"/>
      <c r="S184" s="24"/>
      <c r="T184" s="24"/>
      <c r="U184" s="24"/>
      <c r="V184" s="24"/>
      <c r="W184" s="24"/>
      <c r="X184" s="24"/>
      <c r="Y184" s="24"/>
      <c r="Z184" s="24"/>
      <c r="AA184" s="24"/>
      <c r="AB184" s="24"/>
      <c r="AC184" s="24"/>
      <c r="AD184" s="24"/>
      <c r="AE184" s="24"/>
      <c r="AF184" s="24"/>
      <c r="AG184" s="24"/>
      <c r="AH184" s="24"/>
      <c r="AI184" s="24"/>
      <c r="AJ184" s="24"/>
      <c r="AK184" s="24"/>
      <c r="AL184" s="24"/>
      <c r="AM184" s="24"/>
      <c r="AN184" s="24"/>
      <c r="AO184" s="24"/>
      <c r="AP184" s="24"/>
      <c r="AQ184" s="24"/>
      <c r="AR184" s="24"/>
    </row>
    <row r="185" spans="1:44" x14ac:dyDescent="0.3">
      <c r="A185" s="24"/>
      <c r="B185" s="25" t="s">
        <v>391</v>
      </c>
      <c r="C185" s="41" t="s">
        <v>22</v>
      </c>
      <c r="D185" s="25"/>
      <c r="E185" s="144"/>
      <c r="F185" s="24"/>
      <c r="G185" s="24"/>
      <c r="H185" s="24"/>
      <c r="I185" s="24"/>
      <c r="J185" s="24"/>
      <c r="K185" s="24"/>
      <c r="L185" s="24"/>
      <c r="M185" s="24"/>
      <c r="N185" s="24"/>
      <c r="O185" s="24"/>
      <c r="P185" s="24"/>
      <c r="Q185" s="24"/>
      <c r="R185" s="24"/>
      <c r="S185" s="24"/>
      <c r="T185" s="24"/>
      <c r="U185" s="24"/>
      <c r="V185" s="24"/>
      <c r="W185" s="24"/>
      <c r="X185" s="24"/>
      <c r="Y185" s="24"/>
      <c r="Z185" s="24"/>
      <c r="AA185" s="24"/>
      <c r="AB185" s="24"/>
      <c r="AC185" s="24"/>
      <c r="AD185" s="24"/>
      <c r="AE185" s="24"/>
      <c r="AF185" s="24"/>
      <c r="AG185" s="24"/>
      <c r="AH185" s="24"/>
      <c r="AI185" s="24"/>
      <c r="AJ185" s="24"/>
      <c r="AK185" s="24"/>
      <c r="AL185" s="24"/>
      <c r="AM185" s="24"/>
      <c r="AN185" s="24"/>
      <c r="AO185" s="24"/>
      <c r="AP185" s="24"/>
      <c r="AQ185" s="24"/>
      <c r="AR185" s="24"/>
    </row>
    <row r="186" spans="1:44" x14ac:dyDescent="0.3">
      <c r="A186" s="24"/>
      <c r="B186" s="25" t="s">
        <v>407</v>
      </c>
      <c r="C186" s="41" t="s">
        <v>401</v>
      </c>
      <c r="D186" s="25"/>
      <c r="E186" s="144"/>
      <c r="F186" s="24"/>
      <c r="G186" s="24"/>
      <c r="H186" s="24"/>
      <c r="I186" s="24"/>
      <c r="J186" s="24"/>
      <c r="K186" s="24"/>
      <c r="L186" s="24"/>
      <c r="M186" s="24"/>
      <c r="N186" s="24"/>
      <c r="O186" s="24"/>
      <c r="P186" s="24"/>
      <c r="Q186" s="24"/>
      <c r="R186" s="24"/>
      <c r="S186" s="24"/>
      <c r="T186" s="24"/>
      <c r="U186" s="24"/>
      <c r="V186" s="24"/>
      <c r="W186" s="24"/>
      <c r="X186" s="24"/>
      <c r="Y186" s="24"/>
      <c r="Z186" s="24"/>
      <c r="AA186" s="24"/>
      <c r="AB186" s="24"/>
      <c r="AC186" s="24"/>
      <c r="AD186" s="24"/>
      <c r="AE186" s="24"/>
      <c r="AF186" s="24"/>
      <c r="AG186" s="24"/>
      <c r="AH186" s="24"/>
      <c r="AI186" s="24"/>
      <c r="AJ186" s="24"/>
      <c r="AK186" s="24"/>
      <c r="AL186" s="24"/>
      <c r="AM186" s="24"/>
      <c r="AN186" s="24"/>
      <c r="AO186" s="24"/>
      <c r="AP186" s="24"/>
      <c r="AQ186" s="24"/>
      <c r="AR186" s="24"/>
    </row>
    <row r="187" spans="1:44" ht="15" x14ac:dyDescent="0.25">
      <c r="A187" s="24"/>
      <c r="B187" s="25" t="s">
        <v>389</v>
      </c>
      <c r="C187" s="41" t="s">
        <v>408</v>
      </c>
      <c r="D187" s="25"/>
      <c r="E187" s="41"/>
      <c r="F187" s="24"/>
      <c r="G187" s="24"/>
      <c r="H187" s="24"/>
      <c r="I187" s="24"/>
      <c r="J187" s="24"/>
      <c r="K187" s="24"/>
      <c r="L187" s="24"/>
      <c r="M187" s="24"/>
      <c r="N187" s="24"/>
      <c r="O187" s="24"/>
      <c r="P187" s="24"/>
      <c r="Q187" s="24"/>
      <c r="R187" s="24"/>
      <c r="S187" s="24"/>
      <c r="T187" s="24"/>
      <c r="U187" s="24"/>
      <c r="V187" s="24"/>
      <c r="W187" s="24"/>
      <c r="X187" s="24"/>
      <c r="Y187" s="24"/>
      <c r="Z187" s="24"/>
      <c r="AA187" s="24"/>
      <c r="AB187" s="24"/>
      <c r="AC187" s="24"/>
      <c r="AD187" s="24"/>
      <c r="AE187" s="24"/>
      <c r="AF187" s="24"/>
      <c r="AG187" s="24"/>
      <c r="AH187" s="24"/>
      <c r="AI187" s="24"/>
      <c r="AJ187" s="24"/>
      <c r="AK187" s="24"/>
      <c r="AL187" s="24"/>
      <c r="AM187" s="24"/>
      <c r="AN187" s="24"/>
      <c r="AO187" s="24"/>
      <c r="AP187" s="24"/>
      <c r="AQ187" s="24"/>
      <c r="AR187" s="24"/>
    </row>
    <row r="188" spans="1:44" ht="15" x14ac:dyDescent="0.25">
      <c r="A188" s="24"/>
      <c r="B188" s="25"/>
      <c r="C188" s="41" t="s">
        <v>409</v>
      </c>
      <c r="D188" s="25"/>
      <c r="E188" s="41"/>
      <c r="F188" s="24"/>
      <c r="G188" s="24"/>
      <c r="H188" s="24"/>
      <c r="I188" s="24"/>
      <c r="J188" s="24"/>
      <c r="K188" s="24"/>
      <c r="L188" s="24"/>
      <c r="M188" s="24"/>
      <c r="N188" s="24"/>
      <c r="O188" s="24"/>
      <c r="P188" s="24"/>
      <c r="Q188" s="24"/>
      <c r="R188" s="24"/>
      <c r="S188" s="24"/>
      <c r="T188" s="24"/>
      <c r="U188" s="24"/>
      <c r="V188" s="24"/>
      <c r="W188" s="24"/>
      <c r="X188" s="24"/>
      <c r="Y188" s="24"/>
      <c r="Z188" s="24"/>
      <c r="AA188" s="24"/>
      <c r="AB188" s="24"/>
      <c r="AC188" s="24"/>
      <c r="AD188" s="24"/>
      <c r="AE188" s="24"/>
      <c r="AF188" s="24"/>
      <c r="AG188" s="24"/>
      <c r="AH188" s="24"/>
      <c r="AI188" s="24"/>
      <c r="AJ188" s="24"/>
      <c r="AK188" s="24"/>
      <c r="AL188" s="24"/>
      <c r="AM188" s="24"/>
      <c r="AN188" s="24"/>
      <c r="AO188" s="24"/>
      <c r="AP188" s="24"/>
      <c r="AQ188" s="24"/>
      <c r="AR188" s="24"/>
    </row>
    <row r="189" spans="1:44" ht="15" x14ac:dyDescent="0.25">
      <c r="A189" s="24"/>
      <c r="B189" s="25"/>
      <c r="C189" s="41" t="s">
        <v>385</v>
      </c>
      <c r="D189" s="25"/>
      <c r="E189" s="41"/>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row>
    <row r="190" spans="1:44" ht="15" x14ac:dyDescent="0.25">
      <c r="A190" s="24"/>
      <c r="B190" s="25"/>
      <c r="C190" s="41" t="s">
        <v>383</v>
      </c>
      <c r="D190" s="25"/>
      <c r="E190" s="41"/>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row>
    <row r="191" spans="1:44" ht="15" x14ac:dyDescent="0.25">
      <c r="A191" s="24"/>
      <c r="B191" s="25"/>
      <c r="C191" s="41" t="s">
        <v>420</v>
      </c>
      <c r="D191" s="25"/>
      <c r="E191" s="41"/>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row>
    <row r="192" spans="1:44" ht="15.6" thickBot="1" x14ac:dyDescent="0.3">
      <c r="A192" s="24"/>
      <c r="B192" s="25"/>
      <c r="C192" s="59" t="s">
        <v>411</v>
      </c>
      <c r="D192" s="27"/>
      <c r="E192" s="59"/>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row>
    <row r="193" spans="1:44" ht="15.6" thickBot="1" x14ac:dyDescent="0.3">
      <c r="A193" s="24"/>
      <c r="B193" s="58" t="s">
        <v>494</v>
      </c>
      <c r="C193" s="69" t="s">
        <v>495</v>
      </c>
      <c r="D193" s="69" t="s">
        <v>496</v>
      </c>
      <c r="E193" s="60" t="s">
        <v>493</v>
      </c>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row>
    <row r="194" spans="1:44" x14ac:dyDescent="0.3">
      <c r="A194" s="24"/>
      <c r="D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row>
    <row r="195" spans="1:44" ht="18" thickBot="1" x14ac:dyDescent="0.35">
      <c r="A195" s="24" t="s">
        <v>9</v>
      </c>
      <c r="B195" s="24"/>
      <c r="C195" s="24"/>
      <c r="D195" s="24"/>
      <c r="F195" s="24"/>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row>
    <row r="196" spans="1:44" x14ac:dyDescent="0.3">
      <c r="A196" s="24"/>
      <c r="B196" s="240" t="s">
        <v>497</v>
      </c>
      <c r="C196" s="243" t="s">
        <v>500</v>
      </c>
      <c r="D196" s="24"/>
      <c r="F196" s="24"/>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row>
    <row r="197" spans="1:44" x14ac:dyDescent="0.3">
      <c r="A197" s="24"/>
      <c r="B197" s="241" t="s">
        <v>498</v>
      </c>
      <c r="C197" s="244" t="s">
        <v>501</v>
      </c>
      <c r="D197" s="24"/>
      <c r="F197" s="24"/>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row>
    <row r="198" spans="1:44" x14ac:dyDescent="0.3">
      <c r="A198" s="24"/>
      <c r="B198" s="241" t="s">
        <v>499</v>
      </c>
      <c r="C198" s="244" t="s">
        <v>502</v>
      </c>
      <c r="D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row>
    <row r="199" spans="1:44" x14ac:dyDescent="0.3">
      <c r="A199" s="24"/>
      <c r="B199" s="241" t="s">
        <v>38</v>
      </c>
      <c r="C199" s="244" t="s">
        <v>38</v>
      </c>
      <c r="D199" s="24"/>
      <c r="F199" s="24"/>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row>
    <row r="200" spans="1:44" ht="18" thickBot="1" x14ac:dyDescent="0.35">
      <c r="A200" s="24"/>
      <c r="B200" s="400" t="s">
        <v>561</v>
      </c>
      <c r="C200" s="401" t="s">
        <v>562</v>
      </c>
      <c r="D200" s="24"/>
      <c r="F200" s="24"/>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row>
    <row r="201" spans="1:44" x14ac:dyDescent="0.3">
      <c r="A201" s="24"/>
      <c r="B201" s="24" t="s">
        <v>504</v>
      </c>
      <c r="C201" s="24"/>
      <c r="D201" s="24"/>
      <c r="F201" s="24"/>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row>
    <row r="202" spans="1:44" x14ac:dyDescent="0.3">
      <c r="A202" s="24"/>
      <c r="B202" s="24" t="s">
        <v>503</v>
      </c>
      <c r="C202" s="24"/>
      <c r="D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row>
    <row r="203" spans="1:44" x14ac:dyDescent="0.3">
      <c r="A203" s="24"/>
      <c r="B203" s="24"/>
      <c r="C203" s="24"/>
      <c r="D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row>
    <row r="204" spans="1:44" ht="18" thickBot="1" x14ac:dyDescent="0.35">
      <c r="A204" s="24" t="s">
        <v>10</v>
      </c>
      <c r="B204" s="24"/>
      <c r="C204" s="24"/>
      <c r="D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row>
    <row r="205" spans="1:44" ht="18" thickBot="1" x14ac:dyDescent="0.35">
      <c r="A205" s="24"/>
      <c r="B205" s="76" t="s">
        <v>21</v>
      </c>
      <c r="C205" s="79" t="s">
        <v>11</v>
      </c>
      <c r="D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row>
    <row r="206" spans="1:44" x14ac:dyDescent="0.3">
      <c r="A206" s="24"/>
      <c r="B206" s="46" t="s">
        <v>27</v>
      </c>
      <c r="C206" s="65">
        <v>1.0526315789473684</v>
      </c>
      <c r="D206" s="413"/>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row>
    <row r="207" spans="1:44" x14ac:dyDescent="0.3">
      <c r="A207" s="24"/>
      <c r="B207" s="25" t="s">
        <v>25</v>
      </c>
      <c r="C207" s="26">
        <v>1.0526315789473684</v>
      </c>
      <c r="D207" s="412"/>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row>
    <row r="208" spans="1:44" x14ac:dyDescent="0.3">
      <c r="A208" s="24"/>
      <c r="B208" s="25" t="s">
        <v>390</v>
      </c>
      <c r="C208" s="26">
        <v>1.0526315789473699</v>
      </c>
      <c r="F208" s="24"/>
      <c r="G208" s="24"/>
      <c r="H208" s="24"/>
      <c r="I208" s="24"/>
      <c r="J208" s="24"/>
      <c r="K208" s="24"/>
      <c r="L208" s="24"/>
      <c r="M208" s="24"/>
      <c r="N208" s="24"/>
      <c r="O208" s="24"/>
      <c r="P208" s="24"/>
      <c r="Q208" s="24"/>
      <c r="R208" s="24"/>
      <c r="S208" s="24"/>
      <c r="T208" s="24"/>
      <c r="U208" s="24"/>
      <c r="V208" s="24"/>
      <c r="W208" s="24"/>
      <c r="X208" s="24"/>
      <c r="Y208" s="24"/>
      <c r="Z208" s="24"/>
      <c r="AA208" s="24"/>
      <c r="AB208" s="24"/>
      <c r="AC208" s="24"/>
      <c r="AD208" s="24"/>
      <c r="AE208" s="24"/>
      <c r="AF208" s="24"/>
      <c r="AG208" s="24"/>
      <c r="AH208" s="24"/>
      <c r="AI208" s="24"/>
      <c r="AJ208" s="24"/>
      <c r="AK208" s="24"/>
      <c r="AL208" s="24"/>
      <c r="AM208" s="24"/>
      <c r="AN208" s="24"/>
      <c r="AO208" s="24"/>
      <c r="AP208" s="24"/>
      <c r="AQ208" s="24"/>
      <c r="AR208" s="24"/>
    </row>
    <row r="209" spans="1:44" x14ac:dyDescent="0.3">
      <c r="A209" s="24"/>
      <c r="B209" s="25" t="s">
        <v>414</v>
      </c>
      <c r="C209" s="26">
        <v>1.0526315789473699</v>
      </c>
      <c r="F209" s="24"/>
      <c r="G209" s="24"/>
      <c r="H209" s="24"/>
      <c r="I209" s="24"/>
      <c r="J209" s="24"/>
      <c r="K209" s="24"/>
      <c r="L209" s="24"/>
      <c r="M209" s="24"/>
      <c r="N209" s="24"/>
      <c r="O209" s="24"/>
      <c r="P209" s="24"/>
      <c r="Q209" s="24"/>
      <c r="R209" s="24"/>
      <c r="S209" s="24"/>
      <c r="T209" s="24"/>
      <c r="U209" s="24"/>
      <c r="V209" s="24"/>
      <c r="W209" s="24"/>
      <c r="X209" s="24"/>
      <c r="Y209" s="24"/>
      <c r="Z209" s="24"/>
      <c r="AA209" s="24"/>
      <c r="AB209" s="24"/>
      <c r="AC209" s="24"/>
      <c r="AD209" s="24"/>
      <c r="AE209" s="24"/>
      <c r="AF209" s="24"/>
      <c r="AG209" s="24"/>
      <c r="AH209" s="24"/>
      <c r="AI209" s="24"/>
      <c r="AJ209" s="24"/>
      <c r="AK209" s="24"/>
      <c r="AL209" s="24"/>
      <c r="AM209" s="24"/>
      <c r="AN209" s="24"/>
      <c r="AO209" s="24"/>
      <c r="AP209" s="24"/>
      <c r="AQ209" s="24"/>
      <c r="AR209" s="24"/>
    </row>
    <row r="210" spans="1:44" x14ac:dyDescent="0.3">
      <c r="A210" s="24"/>
      <c r="B210" s="25" t="s">
        <v>380</v>
      </c>
      <c r="C210" s="26">
        <v>1.0526315789473699</v>
      </c>
      <c r="F210" s="24"/>
      <c r="G210" s="24"/>
      <c r="H210" s="24"/>
      <c r="I210" s="24"/>
      <c r="J210" s="24"/>
      <c r="K210" s="24"/>
      <c r="L210" s="24"/>
      <c r="M210" s="24"/>
      <c r="N210" s="24"/>
      <c r="O210" s="24"/>
      <c r="P210" s="24"/>
      <c r="Q210" s="24"/>
      <c r="R210" s="24"/>
      <c r="S210" s="24"/>
      <c r="T210" s="24"/>
      <c r="U210" s="24"/>
      <c r="V210" s="24"/>
      <c r="W210" s="24"/>
      <c r="X210" s="24"/>
      <c r="Y210" s="24"/>
      <c r="Z210" s="24"/>
      <c r="AA210" s="24"/>
      <c r="AB210" s="24"/>
      <c r="AC210" s="24"/>
      <c r="AD210" s="24"/>
      <c r="AE210" s="24"/>
      <c r="AF210" s="24"/>
      <c r="AG210" s="24"/>
      <c r="AH210" s="24"/>
      <c r="AI210" s="24"/>
      <c r="AJ210" s="24"/>
      <c r="AK210" s="24"/>
      <c r="AL210" s="24"/>
      <c r="AM210" s="24"/>
      <c r="AN210" s="24"/>
      <c r="AO210" s="24"/>
      <c r="AP210" s="24"/>
      <c r="AQ210" s="24"/>
      <c r="AR210" s="24"/>
    </row>
    <row r="211" spans="1:44" x14ac:dyDescent="0.3">
      <c r="A211" s="24"/>
      <c r="B211" s="25" t="s">
        <v>387</v>
      </c>
      <c r="C211" s="26">
        <v>1.0526315789473699</v>
      </c>
      <c r="F211" s="24"/>
      <c r="G211" s="24"/>
      <c r="H211" s="24"/>
      <c r="I211" s="24"/>
      <c r="J211" s="24"/>
      <c r="K211" s="24"/>
      <c r="L211" s="24"/>
      <c r="M211" s="24"/>
      <c r="N211" s="24"/>
      <c r="O211" s="24"/>
      <c r="P211" s="24"/>
      <c r="Q211" s="24"/>
      <c r="R211" s="24"/>
      <c r="S211" s="24"/>
      <c r="T211" s="24"/>
      <c r="U211" s="24"/>
      <c r="V211" s="24"/>
      <c r="W211" s="24"/>
      <c r="X211" s="24"/>
      <c r="Y211" s="24"/>
      <c r="Z211" s="24"/>
      <c r="AA211" s="24"/>
      <c r="AB211" s="24"/>
      <c r="AC211" s="24"/>
      <c r="AD211" s="24"/>
      <c r="AE211" s="24"/>
      <c r="AF211" s="24"/>
      <c r="AG211" s="24"/>
      <c r="AH211" s="24"/>
      <c r="AI211" s="24"/>
      <c r="AJ211" s="24"/>
      <c r="AK211" s="24"/>
      <c r="AL211" s="24"/>
      <c r="AM211" s="24"/>
      <c r="AN211" s="24"/>
      <c r="AO211" s="24"/>
      <c r="AP211" s="24"/>
      <c r="AQ211" s="24"/>
      <c r="AR211" s="24"/>
    </row>
    <row r="212" spans="1:44" x14ac:dyDescent="0.3">
      <c r="A212" s="24"/>
      <c r="B212" s="25" t="s">
        <v>413</v>
      </c>
      <c r="C212" s="26">
        <v>1.0526315789473699</v>
      </c>
      <c r="F212" s="24"/>
      <c r="G212" s="24"/>
      <c r="H212" s="24"/>
      <c r="I212" s="24"/>
      <c r="J212" s="24"/>
      <c r="K212" s="24"/>
      <c r="L212" s="24"/>
      <c r="M212" s="24"/>
      <c r="N212" s="24"/>
      <c r="O212" s="24"/>
      <c r="P212" s="24"/>
      <c r="Q212" s="24"/>
      <c r="R212" s="24"/>
      <c r="S212" s="24"/>
      <c r="T212" s="24"/>
      <c r="U212" s="24"/>
      <c r="V212" s="24"/>
      <c r="W212" s="24"/>
      <c r="X212" s="24"/>
      <c r="Y212" s="24"/>
      <c r="Z212" s="24"/>
      <c r="AA212" s="24"/>
      <c r="AB212" s="24"/>
      <c r="AC212" s="24"/>
      <c r="AD212" s="24"/>
      <c r="AE212" s="24"/>
      <c r="AF212" s="24"/>
      <c r="AG212" s="24"/>
      <c r="AH212" s="24"/>
      <c r="AI212" s="24"/>
      <c r="AJ212" s="24"/>
      <c r="AK212" s="24"/>
      <c r="AL212" s="24"/>
      <c r="AM212" s="24"/>
      <c r="AN212" s="24"/>
      <c r="AO212" s="24"/>
      <c r="AP212" s="24"/>
      <c r="AQ212" s="24"/>
      <c r="AR212" s="24"/>
    </row>
    <row r="213" spans="1:44" x14ac:dyDescent="0.3">
      <c r="A213" s="24"/>
      <c r="B213" s="25" t="s">
        <v>28</v>
      </c>
      <c r="C213" s="26">
        <v>1.0526315789473699</v>
      </c>
      <c r="F213" s="24"/>
      <c r="G213" s="24"/>
      <c r="H213" s="24"/>
      <c r="I213" s="24"/>
      <c r="J213" s="24"/>
      <c r="K213" s="24"/>
      <c r="L213" s="24"/>
      <c r="M213" s="24"/>
      <c r="N213" s="24"/>
      <c r="O213" s="24"/>
      <c r="P213" s="24"/>
      <c r="Q213" s="24"/>
      <c r="R213" s="24"/>
      <c r="S213" s="24"/>
      <c r="T213" s="24"/>
      <c r="U213" s="24"/>
      <c r="V213" s="24"/>
      <c r="W213" s="24"/>
      <c r="X213" s="24"/>
      <c r="Y213" s="24"/>
      <c r="Z213" s="24"/>
      <c r="AA213" s="24"/>
      <c r="AB213" s="24"/>
      <c r="AC213" s="24"/>
      <c r="AD213" s="24"/>
      <c r="AE213" s="24"/>
      <c r="AF213" s="24"/>
      <c r="AG213" s="24"/>
      <c r="AH213" s="24"/>
      <c r="AI213" s="24"/>
      <c r="AJ213" s="24"/>
      <c r="AK213" s="24"/>
      <c r="AL213" s="24"/>
      <c r="AM213" s="24"/>
      <c r="AN213" s="24"/>
      <c r="AO213" s="24"/>
      <c r="AP213" s="24"/>
      <c r="AQ213" s="24"/>
      <c r="AR213" s="24"/>
    </row>
    <row r="214" spans="1:44" x14ac:dyDescent="0.3">
      <c r="A214" s="24"/>
      <c r="B214" s="25" t="s">
        <v>392</v>
      </c>
      <c r="C214" s="26">
        <v>1.0526315789473699</v>
      </c>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row>
    <row r="215" spans="1:44" x14ac:dyDescent="0.3">
      <c r="A215" s="24"/>
      <c r="B215" s="25" t="s">
        <v>426</v>
      </c>
      <c r="C215" s="26">
        <v>1.0526315789473699</v>
      </c>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24"/>
      <c r="AJ215" s="24"/>
      <c r="AK215" s="24"/>
      <c r="AL215" s="24"/>
      <c r="AM215" s="24"/>
      <c r="AN215" s="24"/>
      <c r="AO215" s="24"/>
      <c r="AP215" s="24"/>
      <c r="AQ215" s="24"/>
      <c r="AR215" s="24"/>
    </row>
    <row r="216" spans="1:44" x14ac:dyDescent="0.3">
      <c r="A216" s="24"/>
      <c r="B216" s="25" t="s">
        <v>388</v>
      </c>
      <c r="C216" s="26">
        <v>1.0526315789473699</v>
      </c>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row>
    <row r="217" spans="1:44" x14ac:dyDescent="0.3">
      <c r="A217" s="24"/>
      <c r="B217" s="25" t="s">
        <v>410</v>
      </c>
      <c r="C217" s="26">
        <v>1.0526315789473699</v>
      </c>
      <c r="F217" s="24"/>
      <c r="G217" s="24"/>
      <c r="H217" s="24"/>
      <c r="I217" s="24"/>
      <c r="J217" s="24"/>
      <c r="K217" s="24"/>
      <c r="L217" s="24"/>
      <c r="M217" s="24"/>
      <c r="N217" s="24"/>
      <c r="O217" s="24"/>
      <c r="P217" s="24"/>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row>
    <row r="218" spans="1:44" x14ac:dyDescent="0.3">
      <c r="A218" s="24"/>
      <c r="B218" s="25" t="s">
        <v>391</v>
      </c>
      <c r="C218" s="26">
        <v>1.0526315789473699</v>
      </c>
      <c r="F218" s="24"/>
      <c r="G218" s="24"/>
      <c r="H218" s="24"/>
      <c r="I218" s="24"/>
      <c r="J218" s="24"/>
      <c r="K218" s="24"/>
      <c r="L218" s="24"/>
      <c r="M218" s="24"/>
      <c r="N218" s="24"/>
      <c r="O218" s="24"/>
      <c r="P218" s="24"/>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row>
    <row r="219" spans="1:44" x14ac:dyDescent="0.3">
      <c r="A219" s="24"/>
      <c r="B219" s="25" t="s">
        <v>407</v>
      </c>
      <c r="C219" s="26">
        <v>1.0526315789473699</v>
      </c>
      <c r="F219" s="24"/>
      <c r="G219" s="24"/>
      <c r="H219" s="24"/>
      <c r="I219" s="24"/>
      <c r="J219" s="24"/>
      <c r="K219" s="24"/>
      <c r="L219" s="24"/>
      <c r="M219" s="24"/>
      <c r="N219" s="24"/>
      <c r="O219" s="24"/>
      <c r="P219" s="24"/>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row>
    <row r="220" spans="1:44" x14ac:dyDescent="0.3">
      <c r="A220" s="24"/>
      <c r="B220" s="25" t="s">
        <v>389</v>
      </c>
      <c r="C220" s="26">
        <v>1.0526315789473699</v>
      </c>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row>
    <row r="221" spans="1:44" x14ac:dyDescent="0.3">
      <c r="A221" s="24"/>
      <c r="B221" s="25" t="s">
        <v>427</v>
      </c>
      <c r="C221" s="26">
        <v>1.0526315789473699</v>
      </c>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row>
    <row r="222" spans="1:44" x14ac:dyDescent="0.3">
      <c r="A222" s="24"/>
      <c r="B222" s="25" t="s">
        <v>421</v>
      </c>
      <c r="C222" s="26">
        <v>1.0526315789473699</v>
      </c>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row>
    <row r="223" spans="1:44" x14ac:dyDescent="0.3">
      <c r="A223" s="24"/>
      <c r="B223" s="25" t="s">
        <v>33</v>
      </c>
      <c r="C223" s="26">
        <v>1.0526315789473699</v>
      </c>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row>
    <row r="224" spans="1:44" x14ac:dyDescent="0.3">
      <c r="A224" s="24"/>
      <c r="B224" s="25" t="s">
        <v>394</v>
      </c>
      <c r="C224" s="26">
        <v>1.0526315789473699</v>
      </c>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row>
    <row r="225" spans="1:44" x14ac:dyDescent="0.3">
      <c r="A225" s="24"/>
      <c r="B225" s="25" t="s">
        <v>30</v>
      </c>
      <c r="C225" s="26">
        <v>1.0526315789473699</v>
      </c>
      <c r="F225" s="24"/>
      <c r="G225" s="24"/>
      <c r="H225" s="24"/>
      <c r="I225" s="24"/>
      <c r="J225" s="24"/>
      <c r="K225" s="24"/>
      <c r="L225" s="24"/>
      <c r="M225" s="24"/>
      <c r="N225" s="24"/>
      <c r="O225" s="24"/>
      <c r="P225" s="24"/>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row>
    <row r="226" spans="1:44" x14ac:dyDescent="0.3">
      <c r="A226" s="24"/>
      <c r="B226" s="25" t="s">
        <v>399</v>
      </c>
      <c r="C226" s="26">
        <v>1.0526315789473699</v>
      </c>
      <c r="F226" s="24"/>
      <c r="G226" s="24"/>
      <c r="H226" s="24"/>
      <c r="I226" s="24"/>
      <c r="J226" s="24"/>
      <c r="K226" s="24"/>
      <c r="L226" s="24"/>
      <c r="M226" s="24"/>
      <c r="N226" s="24"/>
      <c r="O226" s="24"/>
      <c r="P226" s="24"/>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row>
    <row r="227" spans="1:44" x14ac:dyDescent="0.3">
      <c r="A227" s="24"/>
      <c r="B227" s="25" t="s">
        <v>397</v>
      </c>
      <c r="C227" s="26">
        <v>1.0526315789473699</v>
      </c>
      <c r="F227" s="24"/>
      <c r="G227" s="24"/>
      <c r="H227" s="24"/>
      <c r="I227" s="24"/>
      <c r="J227" s="24"/>
      <c r="K227" s="24"/>
      <c r="L227" s="24"/>
      <c r="M227" s="24"/>
      <c r="N227" s="24"/>
      <c r="O227" s="24"/>
      <c r="P227" s="24"/>
      <c r="Q227" s="24"/>
      <c r="R227" s="24"/>
      <c r="S227" s="24"/>
      <c r="T227" s="24"/>
      <c r="U227" s="24"/>
      <c r="V227" s="24"/>
      <c r="W227" s="24"/>
      <c r="X227" s="24"/>
      <c r="Y227" s="24"/>
      <c r="Z227" s="24"/>
      <c r="AA227" s="24"/>
      <c r="AB227" s="24"/>
      <c r="AC227" s="24"/>
      <c r="AD227" s="24"/>
      <c r="AE227" s="24"/>
      <c r="AF227" s="24"/>
      <c r="AG227" s="24"/>
      <c r="AH227" s="24"/>
      <c r="AI227" s="24"/>
      <c r="AJ227" s="24"/>
      <c r="AK227" s="24"/>
      <c r="AL227" s="24"/>
      <c r="AM227" s="24"/>
      <c r="AN227" s="24"/>
      <c r="AO227" s="24"/>
      <c r="AP227" s="24"/>
      <c r="AQ227" s="24"/>
      <c r="AR227" s="24"/>
    </row>
    <row r="228" spans="1:44" x14ac:dyDescent="0.3">
      <c r="A228" s="24"/>
      <c r="B228" s="25" t="s">
        <v>384</v>
      </c>
      <c r="C228" s="26">
        <v>1.0526315789473699</v>
      </c>
      <c r="F228" s="24"/>
      <c r="G228" s="24"/>
      <c r="H228" s="24"/>
      <c r="I228" s="24"/>
      <c r="J228" s="24"/>
      <c r="K228" s="24"/>
      <c r="L228" s="24"/>
      <c r="M228" s="24"/>
      <c r="N228" s="24"/>
      <c r="O228" s="24"/>
      <c r="P228" s="24"/>
      <c r="Q228" s="24"/>
      <c r="R228" s="24"/>
      <c r="S228" s="24"/>
      <c r="T228" s="24"/>
      <c r="U228" s="24"/>
      <c r="V228" s="24"/>
      <c r="W228" s="24"/>
      <c r="X228" s="24"/>
      <c r="Y228" s="24"/>
      <c r="Z228" s="24"/>
      <c r="AA228" s="24"/>
      <c r="AB228" s="24"/>
      <c r="AC228" s="24"/>
      <c r="AD228" s="24"/>
      <c r="AE228" s="24"/>
      <c r="AF228" s="24"/>
      <c r="AG228" s="24"/>
      <c r="AH228" s="24"/>
      <c r="AI228" s="24"/>
      <c r="AJ228" s="24"/>
      <c r="AK228" s="24"/>
      <c r="AL228" s="24"/>
      <c r="AM228" s="24"/>
      <c r="AN228" s="24"/>
      <c r="AO228" s="24"/>
      <c r="AP228" s="24"/>
      <c r="AQ228" s="24"/>
      <c r="AR228" s="24"/>
    </row>
    <row r="229" spans="1:44" x14ac:dyDescent="0.3">
      <c r="A229" s="24"/>
      <c r="B229" s="25" t="s">
        <v>425</v>
      </c>
      <c r="C229" s="26">
        <v>1.0526315789473699</v>
      </c>
      <c r="F229" s="24"/>
      <c r="G229" s="24"/>
      <c r="H229" s="24"/>
      <c r="I229" s="24"/>
      <c r="J229" s="24"/>
      <c r="K229" s="24"/>
      <c r="L229" s="24"/>
      <c r="M229" s="24"/>
      <c r="N229" s="24"/>
      <c r="O229" s="24"/>
      <c r="P229" s="24"/>
      <c r="Q229" s="24"/>
      <c r="R229" s="24"/>
      <c r="S229" s="24"/>
      <c r="T229" s="24"/>
      <c r="U229" s="24"/>
      <c r="V229" s="24"/>
      <c r="W229" s="24"/>
      <c r="X229" s="24"/>
      <c r="Y229" s="24"/>
      <c r="Z229" s="24"/>
      <c r="AA229" s="24"/>
      <c r="AB229" s="24"/>
      <c r="AC229" s="24"/>
      <c r="AD229" s="24"/>
      <c r="AE229" s="24"/>
      <c r="AF229" s="24"/>
      <c r="AG229" s="24"/>
      <c r="AH229" s="24"/>
      <c r="AI229" s="24"/>
      <c r="AJ229" s="24"/>
      <c r="AK229" s="24"/>
      <c r="AL229" s="24"/>
      <c r="AM229" s="24"/>
      <c r="AN229" s="24"/>
      <c r="AO229" s="24"/>
      <c r="AP229" s="24"/>
      <c r="AQ229" s="24"/>
      <c r="AR229" s="24"/>
    </row>
    <row r="230" spans="1:44" x14ac:dyDescent="0.3">
      <c r="A230" s="24"/>
      <c r="B230" s="25" t="s">
        <v>400</v>
      </c>
      <c r="C230" s="26">
        <v>1.0526315789473699</v>
      </c>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row>
    <row r="231" spans="1:44" x14ac:dyDescent="0.3">
      <c r="A231" s="24"/>
      <c r="B231" s="25" t="s">
        <v>26</v>
      </c>
      <c r="C231" s="26">
        <v>1.0526315789473699</v>
      </c>
      <c r="F231" s="24"/>
      <c r="G231" s="24"/>
      <c r="H231" s="24"/>
      <c r="I231" s="24"/>
      <c r="J231" s="24"/>
      <c r="K231" s="24"/>
      <c r="L231" s="24"/>
      <c r="M231" s="24"/>
      <c r="N231" s="24"/>
      <c r="O231" s="24"/>
      <c r="P231" s="24"/>
      <c r="Q231" s="24"/>
      <c r="R231" s="24"/>
      <c r="S231" s="24"/>
      <c r="T231" s="24"/>
      <c r="U231" s="24"/>
      <c r="V231" s="24"/>
      <c r="W231" s="24"/>
      <c r="X231" s="24"/>
      <c r="Y231" s="24"/>
      <c r="Z231" s="24"/>
      <c r="AA231" s="24"/>
      <c r="AB231" s="24"/>
      <c r="AC231" s="24"/>
      <c r="AD231" s="24"/>
      <c r="AE231" s="24"/>
      <c r="AF231" s="24"/>
      <c r="AG231" s="24"/>
      <c r="AH231" s="24"/>
      <c r="AI231" s="24"/>
      <c r="AJ231" s="24"/>
      <c r="AK231" s="24"/>
      <c r="AL231" s="24"/>
      <c r="AM231" s="24"/>
      <c r="AN231" s="24"/>
      <c r="AO231" s="24"/>
      <c r="AP231" s="24"/>
      <c r="AQ231" s="24"/>
      <c r="AR231" s="24"/>
    </row>
    <row r="232" spans="1:44" x14ac:dyDescent="0.3">
      <c r="A232" s="24"/>
      <c r="B232" s="25" t="s">
        <v>398</v>
      </c>
      <c r="C232" s="26">
        <v>1.0526315789473699</v>
      </c>
      <c r="F232" s="24"/>
      <c r="G232" s="24"/>
      <c r="H232" s="24"/>
      <c r="I232" s="24"/>
      <c r="J232" s="24"/>
      <c r="K232" s="24"/>
      <c r="L232" s="24"/>
      <c r="M232" s="24"/>
      <c r="N232" s="24"/>
      <c r="O232" s="24"/>
      <c r="P232" s="24"/>
      <c r="Q232" s="24"/>
      <c r="R232" s="24"/>
      <c r="S232" s="24"/>
      <c r="T232" s="24"/>
      <c r="U232" s="24"/>
      <c r="V232" s="24"/>
      <c r="W232" s="24"/>
      <c r="X232" s="24"/>
      <c r="Y232" s="24"/>
      <c r="Z232" s="24"/>
      <c r="AA232" s="24"/>
      <c r="AB232" s="24"/>
      <c r="AC232" s="24"/>
      <c r="AD232" s="24"/>
      <c r="AE232" s="24"/>
      <c r="AF232" s="24"/>
      <c r="AG232" s="24"/>
      <c r="AH232" s="24"/>
      <c r="AI232" s="24"/>
      <c r="AJ232" s="24"/>
      <c r="AK232" s="24"/>
      <c r="AL232" s="24"/>
      <c r="AM232" s="24"/>
      <c r="AN232" s="24"/>
      <c r="AO232" s="24"/>
      <c r="AP232" s="24"/>
      <c r="AQ232" s="24"/>
      <c r="AR232" s="24"/>
    </row>
    <row r="233" spans="1:44" x14ac:dyDescent="0.3">
      <c r="A233" s="24"/>
      <c r="B233" s="25" t="s">
        <v>24</v>
      </c>
      <c r="C233" s="26">
        <v>1.0526315789473699</v>
      </c>
      <c r="F233" s="24"/>
      <c r="G233" s="24"/>
      <c r="H233" s="24"/>
      <c r="I233" s="24"/>
      <c r="J233" s="24"/>
      <c r="K233" s="24"/>
      <c r="L233" s="24"/>
      <c r="M233" s="24"/>
      <c r="N233" s="24"/>
      <c r="O233" s="24"/>
      <c r="P233" s="24"/>
      <c r="Q233" s="24"/>
      <c r="R233" s="24"/>
      <c r="S233" s="24"/>
      <c r="T233" s="24"/>
      <c r="U233" s="24"/>
      <c r="V233" s="24"/>
      <c r="W233" s="24"/>
      <c r="X233" s="24"/>
      <c r="Y233" s="24"/>
      <c r="Z233" s="24"/>
      <c r="AA233" s="24"/>
      <c r="AB233" s="24"/>
      <c r="AC233" s="24"/>
      <c r="AD233" s="24"/>
      <c r="AE233" s="24"/>
      <c r="AF233" s="24"/>
      <c r="AG233" s="24"/>
      <c r="AH233" s="24"/>
      <c r="AI233" s="24"/>
      <c r="AJ233" s="24"/>
      <c r="AK233" s="24"/>
      <c r="AL233" s="24"/>
      <c r="AM233" s="24"/>
      <c r="AN233" s="24"/>
      <c r="AO233" s="24"/>
      <c r="AP233" s="24"/>
      <c r="AQ233" s="24"/>
      <c r="AR233" s="24"/>
    </row>
    <row r="234" spans="1:44" x14ac:dyDescent="0.3">
      <c r="A234" s="24"/>
      <c r="B234" s="25" t="s">
        <v>406</v>
      </c>
      <c r="C234" s="26">
        <v>1.0526315789473699</v>
      </c>
      <c r="F234" s="24"/>
      <c r="G234" s="24"/>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row>
    <row r="235" spans="1:44" x14ac:dyDescent="0.3">
      <c r="A235" s="24"/>
      <c r="B235" s="25" t="s">
        <v>29</v>
      </c>
      <c r="C235" s="26">
        <v>1.0526315789473699</v>
      </c>
      <c r="F235" s="24"/>
      <c r="G235" s="24"/>
      <c r="H235" s="24"/>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row>
    <row r="236" spans="1:44" x14ac:dyDescent="0.3">
      <c r="A236" s="24"/>
      <c r="B236" s="25" t="s">
        <v>22</v>
      </c>
      <c r="C236" s="26">
        <v>1.0526315789473699</v>
      </c>
      <c r="F236" s="24"/>
      <c r="G236" s="24"/>
      <c r="H236" s="24"/>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row>
    <row r="237" spans="1:44" x14ac:dyDescent="0.3">
      <c r="A237" s="24"/>
      <c r="B237" s="25" t="s">
        <v>401</v>
      </c>
      <c r="C237" s="26">
        <v>1.0526315789473699</v>
      </c>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row>
    <row r="238" spans="1:44" x14ac:dyDescent="0.3">
      <c r="A238" s="24"/>
      <c r="B238" s="25" t="s">
        <v>408</v>
      </c>
      <c r="C238" s="26">
        <v>1.0526315789473699</v>
      </c>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row>
    <row r="239" spans="1:44" x14ac:dyDescent="0.3">
      <c r="A239" s="24"/>
      <c r="B239" s="25" t="s">
        <v>385</v>
      </c>
      <c r="C239" s="26">
        <v>1.0526315789473699</v>
      </c>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row>
    <row r="240" spans="1:44" x14ac:dyDescent="0.3">
      <c r="A240" s="24"/>
      <c r="B240" s="25" t="s">
        <v>383</v>
      </c>
      <c r="C240" s="26">
        <v>1.0526315789473699</v>
      </c>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row>
    <row r="241" spans="1:44" x14ac:dyDescent="0.3">
      <c r="A241" s="24"/>
      <c r="B241" s="25" t="s">
        <v>420</v>
      </c>
      <c r="C241" s="26">
        <v>1.0526315789473699</v>
      </c>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row>
    <row r="242" spans="1:44" x14ac:dyDescent="0.3">
      <c r="A242" s="24"/>
      <c r="B242" s="25" t="s">
        <v>411</v>
      </c>
      <c r="C242" s="26">
        <v>1.0526315789473699</v>
      </c>
      <c r="F242" s="24"/>
      <c r="G242" s="24"/>
      <c r="H242" s="24"/>
      <c r="I242" s="24"/>
      <c r="J242" s="24"/>
      <c r="K242" s="24"/>
      <c r="L242" s="24"/>
      <c r="M242" s="24"/>
      <c r="N242" s="24"/>
      <c r="O242" s="24"/>
      <c r="P242" s="24"/>
      <c r="Q242" s="24"/>
      <c r="R242" s="24"/>
      <c r="S242" s="24"/>
      <c r="T242" s="24"/>
      <c r="U242" s="24"/>
      <c r="V242" s="24"/>
      <c r="W242" s="24"/>
      <c r="X242" s="24"/>
      <c r="Y242" s="24"/>
      <c r="Z242" s="24"/>
      <c r="AA242" s="24"/>
      <c r="AB242" s="24"/>
      <c r="AC242" s="24"/>
      <c r="AD242" s="24"/>
      <c r="AE242" s="24"/>
      <c r="AF242" s="24"/>
      <c r="AG242" s="24"/>
      <c r="AH242" s="24"/>
      <c r="AI242" s="24"/>
      <c r="AJ242" s="24"/>
      <c r="AK242" s="24"/>
      <c r="AL242" s="24"/>
      <c r="AM242" s="24"/>
      <c r="AN242" s="24"/>
      <c r="AO242" s="24"/>
      <c r="AP242" s="24"/>
      <c r="AQ242" s="24"/>
      <c r="AR242" s="24"/>
    </row>
    <row r="243" spans="1:44" x14ac:dyDescent="0.3">
      <c r="A243" s="24"/>
      <c r="B243" s="25" t="s">
        <v>32</v>
      </c>
      <c r="C243" s="26">
        <v>1.0526315789473699</v>
      </c>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row>
    <row r="244" spans="1:44" x14ac:dyDescent="0.3">
      <c r="A244" s="24"/>
      <c r="B244" s="25" t="s">
        <v>31</v>
      </c>
      <c r="C244" s="26">
        <v>1.0526315789473699</v>
      </c>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row>
    <row r="245" spans="1:44" x14ac:dyDescent="0.3">
      <c r="A245" s="24"/>
      <c r="B245" s="25" t="s">
        <v>422</v>
      </c>
      <c r="C245" s="26">
        <v>1.0526315789473699</v>
      </c>
      <c r="F245" s="24"/>
      <c r="G245" s="24"/>
      <c r="H245" s="24"/>
      <c r="I245" s="24"/>
      <c r="J245" s="24"/>
      <c r="K245" s="24"/>
      <c r="L245" s="24"/>
      <c r="M245" s="24"/>
      <c r="N245" s="24"/>
      <c r="O245" s="24"/>
      <c r="P245" s="24"/>
      <c r="Q245" s="24"/>
      <c r="R245" s="24"/>
      <c r="S245" s="24"/>
      <c r="T245" s="24"/>
      <c r="U245" s="24"/>
      <c r="V245" s="24"/>
      <c r="W245" s="24"/>
      <c r="X245" s="24"/>
      <c r="Y245" s="24"/>
      <c r="Z245" s="24"/>
      <c r="AA245" s="24"/>
      <c r="AB245" s="24"/>
      <c r="AC245" s="24"/>
      <c r="AD245" s="24"/>
      <c r="AE245" s="24"/>
      <c r="AF245" s="24"/>
      <c r="AG245" s="24"/>
      <c r="AH245" s="24"/>
      <c r="AI245" s="24"/>
      <c r="AJ245" s="24"/>
      <c r="AK245" s="24"/>
      <c r="AL245" s="24"/>
      <c r="AM245" s="24"/>
      <c r="AN245" s="24"/>
      <c r="AO245" s="24"/>
      <c r="AP245" s="24"/>
      <c r="AQ245" s="24"/>
      <c r="AR245" s="24"/>
    </row>
    <row r="246" spans="1:44" x14ac:dyDescent="0.3">
      <c r="A246" s="24"/>
      <c r="B246" s="25" t="s">
        <v>613</v>
      </c>
      <c r="C246" s="26">
        <v>1.0526315789473699</v>
      </c>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row>
    <row r="247" spans="1:44" x14ac:dyDescent="0.3">
      <c r="A247" s="24"/>
      <c r="B247" s="145" t="s">
        <v>23</v>
      </c>
      <c r="C247" s="141">
        <v>1.0526315789473699</v>
      </c>
      <c r="D247" s="24"/>
      <c r="F247" s="24"/>
      <c r="G247" s="24"/>
      <c r="H247" s="24"/>
      <c r="I247" s="24"/>
      <c r="J247" s="24"/>
      <c r="K247" s="24"/>
      <c r="L247" s="24"/>
      <c r="M247" s="24"/>
      <c r="N247" s="24"/>
      <c r="O247" s="24"/>
      <c r="P247" s="24"/>
      <c r="Q247" s="24"/>
      <c r="R247" s="24"/>
      <c r="S247" s="24"/>
      <c r="T247" s="24"/>
      <c r="U247" s="24"/>
      <c r="V247" s="24"/>
      <c r="W247" s="24"/>
      <c r="X247" s="24"/>
      <c r="Y247" s="24"/>
      <c r="Z247" s="24"/>
      <c r="AA247" s="24"/>
      <c r="AB247" s="24"/>
      <c r="AC247" s="24"/>
      <c r="AD247" s="24"/>
      <c r="AE247" s="24"/>
      <c r="AF247" s="24"/>
      <c r="AG247" s="24"/>
      <c r="AH247" s="24"/>
      <c r="AI247" s="24"/>
      <c r="AJ247" s="24"/>
      <c r="AK247" s="24"/>
      <c r="AL247" s="24"/>
      <c r="AM247" s="24"/>
      <c r="AN247" s="24"/>
      <c r="AO247" s="24"/>
      <c r="AP247" s="24"/>
      <c r="AQ247" s="24"/>
      <c r="AR247" s="24"/>
    </row>
    <row r="248" spans="1:44" x14ac:dyDescent="0.3">
      <c r="A248" s="24"/>
      <c r="B248" s="145" t="s">
        <v>386</v>
      </c>
      <c r="C248" s="141">
        <v>1.0526315789473699</v>
      </c>
      <c r="D248" s="24"/>
      <c r="F248" s="24"/>
      <c r="G248" s="24"/>
      <c r="H248" s="24"/>
      <c r="I248" s="24"/>
      <c r="J248" s="24"/>
      <c r="K248" s="24"/>
      <c r="L248" s="24"/>
      <c r="M248" s="24"/>
      <c r="N248" s="24"/>
      <c r="O248" s="24"/>
      <c r="P248" s="24"/>
      <c r="Q248" s="24"/>
      <c r="R248" s="24"/>
      <c r="S248" s="24"/>
      <c r="T248" s="24"/>
      <c r="U248" s="24"/>
      <c r="V248" s="24"/>
      <c r="W248" s="24"/>
      <c r="X248" s="24"/>
      <c r="Y248" s="24"/>
      <c r="Z248" s="24"/>
      <c r="AA248" s="24"/>
      <c r="AB248" s="24"/>
      <c r="AC248" s="24"/>
      <c r="AD248" s="24"/>
      <c r="AE248" s="24"/>
      <c r="AF248" s="24"/>
      <c r="AG248" s="24"/>
      <c r="AH248" s="24"/>
      <c r="AI248" s="24"/>
      <c r="AJ248" s="24"/>
      <c r="AK248" s="24"/>
      <c r="AL248" s="24"/>
      <c r="AM248" s="24"/>
      <c r="AN248" s="24"/>
      <c r="AO248" s="24"/>
      <c r="AP248" s="24"/>
      <c r="AQ248" s="24"/>
      <c r="AR248" s="24"/>
    </row>
    <row r="249" spans="1:44" x14ac:dyDescent="0.3">
      <c r="A249" s="24"/>
      <c r="B249" s="145" t="s">
        <v>409</v>
      </c>
      <c r="C249" s="141">
        <v>1.0526315789473699</v>
      </c>
      <c r="D249" s="24"/>
      <c r="F249" s="24"/>
      <c r="G249" s="24"/>
      <c r="H249" s="24"/>
      <c r="I249" s="24"/>
      <c r="J249" s="24"/>
      <c r="K249" s="24"/>
      <c r="L249" s="24"/>
      <c r="M249" s="24"/>
      <c r="N249" s="24"/>
      <c r="O249" s="24"/>
      <c r="P249" s="24"/>
      <c r="Q249" s="24"/>
      <c r="R249" s="24"/>
      <c r="S249" s="24"/>
      <c r="T249" s="24"/>
      <c r="U249" s="24"/>
      <c r="V249" s="24"/>
      <c r="W249" s="24"/>
      <c r="X249" s="24"/>
      <c r="Y249" s="24"/>
      <c r="Z249" s="24"/>
      <c r="AA249" s="24"/>
      <c r="AB249" s="24"/>
      <c r="AC249" s="24"/>
      <c r="AD249" s="24"/>
      <c r="AE249" s="24"/>
      <c r="AF249" s="24"/>
      <c r="AG249" s="24"/>
      <c r="AH249" s="24"/>
      <c r="AI249" s="24"/>
      <c r="AJ249" s="24"/>
      <c r="AK249" s="24"/>
      <c r="AL249" s="24"/>
      <c r="AM249" s="24"/>
      <c r="AN249" s="24"/>
      <c r="AO249" s="24"/>
      <c r="AP249" s="24"/>
      <c r="AQ249" s="24"/>
      <c r="AR249" s="24"/>
    </row>
    <row r="250" spans="1:44" x14ac:dyDescent="0.3">
      <c r="A250" s="24"/>
      <c r="B250" s="25" t="s">
        <v>417</v>
      </c>
      <c r="C250" s="26">
        <v>1.1111111111111112</v>
      </c>
      <c r="D250" s="24"/>
      <c r="F250" s="24"/>
      <c r="G250" s="24"/>
      <c r="H250" s="24"/>
      <c r="I250" s="24"/>
      <c r="J250" s="24"/>
      <c r="K250" s="24"/>
      <c r="L250" s="24"/>
      <c r="M250" s="24"/>
      <c r="N250" s="24"/>
      <c r="O250" s="24"/>
      <c r="P250" s="24"/>
      <c r="Q250" s="24"/>
      <c r="R250" s="24"/>
      <c r="S250" s="24"/>
      <c r="T250" s="24"/>
      <c r="U250" s="24"/>
      <c r="V250" s="24"/>
      <c r="W250" s="24"/>
      <c r="X250" s="24"/>
      <c r="Y250" s="24"/>
      <c r="Z250" s="24"/>
      <c r="AA250" s="24"/>
      <c r="AB250" s="24"/>
      <c r="AC250" s="24"/>
      <c r="AD250" s="24"/>
      <c r="AE250" s="24"/>
      <c r="AF250" s="24"/>
      <c r="AG250" s="24"/>
      <c r="AH250" s="24"/>
      <c r="AI250" s="24"/>
      <c r="AJ250" s="24"/>
      <c r="AK250" s="24"/>
      <c r="AL250" s="24"/>
      <c r="AM250" s="24"/>
      <c r="AN250" s="24"/>
      <c r="AO250" s="24"/>
      <c r="AP250" s="24"/>
      <c r="AQ250" s="24"/>
      <c r="AR250" s="24"/>
    </row>
    <row r="251" spans="1:44" x14ac:dyDescent="0.3">
      <c r="A251" s="24"/>
      <c r="B251" s="25" t="s">
        <v>416</v>
      </c>
      <c r="C251" s="26">
        <v>1.1111111111111112</v>
      </c>
      <c r="D251" s="24"/>
      <c r="F251" s="24"/>
      <c r="G251" s="24"/>
      <c r="H251" s="24"/>
      <c r="I251" s="24"/>
      <c r="J251" s="24"/>
      <c r="K251" s="24"/>
      <c r="L251" s="24"/>
      <c r="M251" s="24"/>
      <c r="N251" s="24"/>
      <c r="O251" s="24"/>
      <c r="P251" s="24"/>
      <c r="Q251" s="24"/>
      <c r="R251" s="24"/>
      <c r="S251" s="24"/>
      <c r="T251" s="24"/>
      <c r="U251" s="24"/>
      <c r="V251" s="24"/>
      <c r="W251" s="24"/>
      <c r="X251" s="24"/>
      <c r="Y251" s="24"/>
      <c r="Z251" s="24"/>
      <c r="AA251" s="24"/>
      <c r="AB251" s="24"/>
      <c r="AC251" s="24"/>
      <c r="AD251" s="24"/>
      <c r="AE251" s="24"/>
      <c r="AF251" s="24"/>
      <c r="AG251" s="24"/>
      <c r="AH251" s="24"/>
      <c r="AI251" s="24"/>
      <c r="AJ251" s="24"/>
      <c r="AK251" s="24"/>
      <c r="AL251" s="24"/>
      <c r="AM251" s="24"/>
      <c r="AN251" s="24"/>
      <c r="AO251" s="24"/>
      <c r="AP251" s="24"/>
      <c r="AQ251" s="24"/>
      <c r="AR251" s="24"/>
    </row>
    <row r="252" spans="1:44" x14ac:dyDescent="0.3">
      <c r="A252" s="24"/>
      <c r="B252" s="25" t="s">
        <v>415</v>
      </c>
      <c r="C252" s="26">
        <v>1.1111111111111112</v>
      </c>
      <c r="D252" s="24"/>
      <c r="F252" s="24"/>
      <c r="G252" s="24"/>
      <c r="H252" s="24"/>
      <c r="I252" s="24"/>
      <c r="J252" s="24"/>
      <c r="K252" s="24"/>
      <c r="L252" s="24"/>
      <c r="M252" s="24"/>
      <c r="N252" s="24"/>
      <c r="O252" s="24"/>
      <c r="P252" s="24"/>
      <c r="Q252" s="24"/>
      <c r="R252" s="24"/>
      <c r="S252" s="24"/>
      <c r="T252" s="24"/>
      <c r="U252" s="24"/>
      <c r="V252" s="24"/>
      <c r="W252" s="24"/>
      <c r="X252" s="24"/>
      <c r="Y252" s="24"/>
      <c r="Z252" s="24"/>
      <c r="AA252" s="24"/>
      <c r="AB252" s="24"/>
      <c r="AC252" s="24"/>
      <c r="AD252" s="24"/>
      <c r="AE252" s="24"/>
      <c r="AF252" s="24"/>
      <c r="AG252" s="24"/>
      <c r="AH252" s="24"/>
      <c r="AI252" s="24"/>
      <c r="AJ252" s="24"/>
      <c r="AK252" s="24"/>
      <c r="AL252" s="24"/>
      <c r="AM252" s="24"/>
      <c r="AN252" s="24"/>
      <c r="AO252" s="24"/>
      <c r="AP252" s="24"/>
      <c r="AQ252" s="24"/>
      <c r="AR252" s="24"/>
    </row>
    <row r="253" spans="1:44" x14ac:dyDescent="0.3">
      <c r="A253" s="24"/>
      <c r="B253" s="25" t="s">
        <v>393</v>
      </c>
      <c r="C253" s="26">
        <v>1.1111111111111112</v>
      </c>
      <c r="D253" s="24"/>
      <c r="F253" s="24"/>
      <c r="G253" s="24"/>
      <c r="H253" s="24"/>
      <c r="I253" s="24"/>
      <c r="J253" s="24"/>
      <c r="K253" s="24"/>
      <c r="L253" s="24"/>
      <c r="M253" s="24"/>
      <c r="N253" s="24"/>
      <c r="O253" s="24"/>
      <c r="P253" s="24"/>
      <c r="Q253" s="24"/>
      <c r="R253" s="24"/>
      <c r="S253" s="24"/>
      <c r="T253" s="24"/>
      <c r="U253" s="24"/>
      <c r="V253" s="24"/>
      <c r="W253" s="24"/>
      <c r="X253" s="24"/>
      <c r="Y253" s="24"/>
      <c r="Z253" s="24"/>
      <c r="AA253" s="24"/>
      <c r="AB253" s="24"/>
      <c r="AC253" s="24"/>
      <c r="AD253" s="24"/>
      <c r="AE253" s="24"/>
      <c r="AF253" s="24"/>
      <c r="AG253" s="24"/>
      <c r="AH253" s="24"/>
      <c r="AI253" s="24"/>
      <c r="AJ253" s="24"/>
      <c r="AK253" s="24"/>
      <c r="AL253" s="24"/>
      <c r="AM253" s="24"/>
      <c r="AN253" s="24"/>
      <c r="AO253" s="24"/>
      <c r="AP253" s="24"/>
      <c r="AQ253" s="24"/>
      <c r="AR253" s="24"/>
    </row>
    <row r="254" spans="1:44" x14ac:dyDescent="0.3">
      <c r="A254" s="24"/>
      <c r="B254" s="25" t="s">
        <v>418</v>
      </c>
      <c r="C254" s="26">
        <v>1.1111111111111112</v>
      </c>
      <c r="D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row>
    <row r="255" spans="1:44" x14ac:dyDescent="0.3">
      <c r="A255" s="24"/>
      <c r="B255" s="25" t="s">
        <v>395</v>
      </c>
      <c r="C255" s="26">
        <v>1.1111111111111112</v>
      </c>
      <c r="D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row>
    <row r="256" spans="1:44" x14ac:dyDescent="0.3">
      <c r="A256" s="24"/>
      <c r="B256" s="25" t="s">
        <v>424</v>
      </c>
      <c r="C256" s="26">
        <v>1.1111111111111112</v>
      </c>
      <c r="D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row>
    <row r="257" spans="1:44" ht="18" thickBot="1" x14ac:dyDescent="0.35">
      <c r="A257" s="24"/>
      <c r="B257" s="27" t="s">
        <v>423</v>
      </c>
      <c r="C257" s="28">
        <v>1.1111111111111112</v>
      </c>
      <c r="D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row>
    <row r="258" spans="1:44" x14ac:dyDescent="0.3">
      <c r="A258" s="24"/>
      <c r="B258" s="24" t="s">
        <v>506</v>
      </c>
      <c r="C258" s="24"/>
      <c r="D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row>
    <row r="259" spans="1:44" ht="18" thickBot="1" x14ac:dyDescent="0.35">
      <c r="A259" s="24"/>
      <c r="B259" s="24"/>
      <c r="C259" s="24"/>
      <c r="D259" s="24"/>
      <c r="F259" s="24"/>
      <c r="G259" s="24"/>
      <c r="H259" s="24"/>
      <c r="I259" s="24"/>
      <c r="J259" s="24"/>
      <c r="K259" s="24"/>
      <c r="L259" s="24"/>
      <c r="M259" s="24"/>
      <c r="N259" s="24"/>
      <c r="O259" s="24"/>
      <c r="P259" s="24"/>
      <c r="Q259" s="24"/>
      <c r="R259" s="24"/>
      <c r="S259" s="24"/>
      <c r="T259" s="24"/>
      <c r="U259" s="24"/>
      <c r="V259" s="24"/>
      <c r="W259" s="24"/>
      <c r="X259" s="24"/>
      <c r="Y259" s="24"/>
      <c r="Z259" s="24"/>
      <c r="AA259" s="24"/>
      <c r="AB259" s="24"/>
      <c r="AC259" s="24"/>
      <c r="AD259" s="24"/>
      <c r="AE259" s="24"/>
      <c r="AF259" s="24"/>
      <c r="AG259" s="24"/>
      <c r="AH259" s="24"/>
      <c r="AI259" s="24"/>
      <c r="AJ259" s="24"/>
      <c r="AK259" s="24"/>
      <c r="AL259" s="24"/>
      <c r="AM259" s="24"/>
      <c r="AN259" s="24"/>
      <c r="AO259" s="24"/>
      <c r="AP259" s="24"/>
      <c r="AQ259" s="24"/>
      <c r="AR259" s="24"/>
    </row>
    <row r="260" spans="1:44" ht="16.2" thickBot="1" x14ac:dyDescent="0.35">
      <c r="A260" s="24"/>
      <c r="B260" s="24"/>
      <c r="C260" s="242" t="s">
        <v>549</v>
      </c>
      <c r="D260" s="242" t="s">
        <v>534</v>
      </c>
      <c r="E260" s="263" t="s">
        <v>535</v>
      </c>
      <c r="F260" s="24"/>
      <c r="G260" s="24"/>
      <c r="H260" s="24"/>
      <c r="I260" s="24"/>
      <c r="J260" s="24"/>
      <c r="K260" s="24"/>
      <c r="L260" s="24"/>
      <c r="M260" s="24"/>
      <c r="N260" s="24"/>
      <c r="O260" s="24"/>
      <c r="P260" s="24"/>
      <c r="Q260" s="24"/>
      <c r="R260" s="24"/>
      <c r="S260" s="24"/>
      <c r="T260" s="24"/>
      <c r="U260" s="24"/>
      <c r="V260" s="24"/>
      <c r="W260" s="24"/>
      <c r="X260" s="24"/>
      <c r="Y260" s="24"/>
      <c r="Z260" s="24"/>
      <c r="AA260" s="24"/>
      <c r="AB260" s="24"/>
      <c r="AC260" s="24"/>
      <c r="AD260" s="24"/>
      <c r="AE260" s="24"/>
      <c r="AF260" s="24"/>
      <c r="AG260" s="24"/>
      <c r="AH260" s="24"/>
      <c r="AI260" s="24"/>
      <c r="AJ260" s="24"/>
      <c r="AK260" s="24"/>
      <c r="AL260" s="24"/>
      <c r="AM260" s="24"/>
      <c r="AN260" s="24"/>
      <c r="AO260" s="24"/>
      <c r="AP260" s="24"/>
      <c r="AQ260" s="24"/>
      <c r="AR260" s="24"/>
    </row>
    <row r="261" spans="1:44" ht="15" x14ac:dyDescent="0.25">
      <c r="A261" s="24"/>
      <c r="B261" s="416" t="s">
        <v>723</v>
      </c>
      <c r="C261" s="240">
        <v>1</v>
      </c>
      <c r="D261" s="201">
        <v>25</v>
      </c>
      <c r="E261" s="243">
        <v>298</v>
      </c>
      <c r="F261" s="24"/>
      <c r="G261" s="24"/>
      <c r="H261" s="24"/>
      <c r="I261" s="24"/>
      <c r="J261" s="24"/>
      <c r="K261" s="24"/>
      <c r="L261" s="24"/>
      <c r="M261" s="24"/>
      <c r="N261" s="24"/>
      <c r="O261" s="24"/>
      <c r="P261" s="24"/>
      <c r="Q261" s="24"/>
      <c r="R261" s="24"/>
      <c r="S261" s="24"/>
      <c r="T261" s="24"/>
      <c r="U261" s="24"/>
      <c r="V261" s="24"/>
      <c r="W261" s="24"/>
      <c r="X261" s="24"/>
      <c r="Y261" s="24"/>
      <c r="Z261" s="24"/>
      <c r="AA261" s="24"/>
      <c r="AB261" s="24"/>
      <c r="AC261" s="24"/>
      <c r="AD261" s="24"/>
      <c r="AE261" s="24"/>
      <c r="AF261" s="24"/>
      <c r="AG261" s="24"/>
      <c r="AH261" s="24"/>
      <c r="AI261" s="24"/>
      <c r="AJ261" s="24"/>
      <c r="AK261" s="24"/>
      <c r="AL261" s="24"/>
      <c r="AM261" s="24"/>
      <c r="AN261" s="24"/>
      <c r="AO261" s="24"/>
      <c r="AP261" s="24"/>
      <c r="AQ261" s="24"/>
      <c r="AR261" s="24"/>
    </row>
    <row r="262" spans="1:44" ht="15" x14ac:dyDescent="0.25">
      <c r="A262" s="24"/>
      <c r="B262" s="417" t="s">
        <v>724</v>
      </c>
      <c r="C262" s="241">
        <v>1</v>
      </c>
      <c r="D262" s="196">
        <v>28</v>
      </c>
      <c r="E262" s="244">
        <v>265</v>
      </c>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row>
    <row r="263" spans="1:44" ht="15.6" thickBot="1" x14ac:dyDescent="0.3">
      <c r="A263" s="24"/>
      <c r="B263" s="418" t="s">
        <v>725</v>
      </c>
      <c r="C263" s="259">
        <v>1</v>
      </c>
      <c r="D263" s="197">
        <v>27.9</v>
      </c>
      <c r="E263" s="260">
        <v>273</v>
      </c>
      <c r="F263" s="24"/>
      <c r="G263" s="24"/>
      <c r="H263" s="24"/>
      <c r="I263" s="24"/>
      <c r="J263" s="24"/>
      <c r="K263" s="24"/>
      <c r="L263" s="24"/>
      <c r="M263" s="24"/>
      <c r="N263" s="24"/>
      <c r="O263" s="24"/>
      <c r="P263" s="24"/>
      <c r="Q263" s="24"/>
      <c r="R263" s="24"/>
      <c r="S263" s="24"/>
      <c r="T263" s="24"/>
      <c r="U263" s="24"/>
      <c r="V263" s="24"/>
      <c r="W263" s="24"/>
      <c r="X263" s="24"/>
      <c r="Y263" s="24"/>
      <c r="Z263" s="24"/>
      <c r="AA263" s="24"/>
      <c r="AB263" s="24"/>
      <c r="AC263" s="24"/>
      <c r="AD263" s="24"/>
      <c r="AE263" s="24"/>
      <c r="AF263" s="24"/>
      <c r="AG263" s="24"/>
      <c r="AH263" s="24"/>
      <c r="AI263" s="24"/>
      <c r="AJ263" s="24"/>
      <c r="AK263" s="24"/>
      <c r="AL263" s="24"/>
      <c r="AM263" s="24"/>
      <c r="AN263" s="24"/>
      <c r="AO263" s="24"/>
      <c r="AP263" s="24"/>
      <c r="AQ263" s="24"/>
      <c r="AR263" s="24"/>
    </row>
    <row r="264" spans="1:44" x14ac:dyDescent="0.3">
      <c r="A264" s="24"/>
      <c r="B264" s="24" t="s">
        <v>548</v>
      </c>
      <c r="C264" s="24"/>
      <c r="D264" s="24"/>
      <c r="F264" s="24"/>
      <c r="G264" s="24"/>
      <c r="H264" s="24"/>
      <c r="I264" s="24"/>
      <c r="J264" s="24"/>
      <c r="K264" s="24"/>
      <c r="L264" s="24"/>
      <c r="M264" s="24"/>
      <c r="N264" s="24"/>
      <c r="O264" s="24"/>
      <c r="P264" s="24"/>
      <c r="Q264" s="24"/>
      <c r="R264" s="24"/>
      <c r="S264" s="24"/>
      <c r="T264" s="24"/>
      <c r="U264" s="24"/>
      <c r="V264" s="24"/>
      <c r="W264" s="24"/>
      <c r="X264" s="24"/>
      <c r="Y264" s="24"/>
      <c r="Z264" s="24"/>
      <c r="AA264" s="24"/>
      <c r="AB264" s="24"/>
      <c r="AC264" s="24"/>
      <c r="AD264" s="24"/>
      <c r="AE264" s="24"/>
      <c r="AF264" s="24"/>
      <c r="AG264" s="24"/>
      <c r="AH264" s="24"/>
      <c r="AI264" s="24"/>
      <c r="AJ264" s="24"/>
      <c r="AK264" s="24"/>
      <c r="AL264" s="24"/>
      <c r="AM264" s="24"/>
      <c r="AN264" s="24"/>
      <c r="AO264" s="24"/>
      <c r="AP264" s="24"/>
      <c r="AQ264" s="24"/>
      <c r="AR264" s="24"/>
    </row>
    <row r="265" spans="1:44" x14ac:dyDescent="0.3">
      <c r="A265" s="24"/>
      <c r="B265" s="24" t="s">
        <v>368</v>
      </c>
      <c r="C265" s="24"/>
      <c r="D265" s="24"/>
      <c r="F265" s="24"/>
      <c r="G265" s="24"/>
      <c r="H265" s="24"/>
      <c r="I265" s="24"/>
      <c r="J265" s="24"/>
      <c r="K265" s="24"/>
      <c r="L265" s="24"/>
      <c r="M265" s="24"/>
      <c r="N265" s="24"/>
      <c r="O265" s="24"/>
      <c r="P265" s="24"/>
      <c r="Q265" s="24"/>
      <c r="R265" s="24"/>
      <c r="S265" s="24"/>
      <c r="T265" s="24"/>
      <c r="U265" s="24"/>
      <c r="V265" s="24"/>
      <c r="W265" s="24"/>
      <c r="X265" s="24"/>
      <c r="Y265" s="24"/>
      <c r="Z265" s="24"/>
      <c r="AA265" s="24"/>
      <c r="AB265" s="24"/>
      <c r="AC265" s="24"/>
      <c r="AD265" s="24"/>
      <c r="AE265" s="24"/>
      <c r="AF265" s="24"/>
      <c r="AG265" s="24"/>
      <c r="AH265" s="24"/>
      <c r="AI265" s="24"/>
      <c r="AJ265" s="24"/>
      <c r="AK265" s="24"/>
      <c r="AL265" s="24"/>
      <c r="AM265" s="24"/>
      <c r="AN265" s="24"/>
      <c r="AO265" s="24"/>
      <c r="AP265" s="24"/>
      <c r="AQ265" s="24"/>
      <c r="AR265" s="24"/>
    </row>
    <row r="266" spans="1:44" ht="18" thickBot="1" x14ac:dyDescent="0.35">
      <c r="A266" s="24"/>
      <c r="B266" s="24"/>
      <c r="C266" s="24"/>
      <c r="D266" s="24"/>
      <c r="F266" s="24"/>
      <c r="G266" s="24"/>
      <c r="H266" s="24"/>
      <c r="I266" s="24"/>
      <c r="J266" s="24"/>
      <c r="K266" s="24"/>
      <c r="L266" s="24"/>
      <c r="M266" s="24"/>
      <c r="N266" s="24"/>
      <c r="O266" s="24"/>
      <c r="P266" s="24"/>
      <c r="Q266" s="24"/>
      <c r="R266" s="24"/>
      <c r="S266" s="24"/>
      <c r="T266" s="24"/>
      <c r="U266" s="24"/>
      <c r="V266" s="24"/>
      <c r="W266" s="24"/>
      <c r="X266" s="24"/>
      <c r="Y266" s="24"/>
      <c r="Z266" s="24"/>
      <c r="AA266" s="24"/>
      <c r="AB266" s="24"/>
      <c r="AC266" s="24"/>
      <c r="AD266" s="24"/>
      <c r="AE266" s="24"/>
      <c r="AF266" s="24"/>
      <c r="AG266" s="24"/>
      <c r="AH266" s="24"/>
      <c r="AI266" s="24"/>
      <c r="AJ266" s="24"/>
      <c r="AK266" s="24"/>
      <c r="AL266" s="24"/>
      <c r="AM266" s="24"/>
      <c r="AN266" s="24"/>
      <c r="AO266" s="24"/>
      <c r="AP266" s="24"/>
      <c r="AQ266" s="24"/>
      <c r="AR266" s="24"/>
    </row>
    <row r="267" spans="1:44" x14ac:dyDescent="0.3">
      <c r="A267" s="24"/>
      <c r="B267" s="84" t="s">
        <v>27</v>
      </c>
      <c r="C267" s="24"/>
      <c r="D267" s="24"/>
      <c r="F267" s="24"/>
      <c r="G267" s="24"/>
      <c r="H267" s="24"/>
      <c r="I267" s="24"/>
      <c r="J267" s="24"/>
      <c r="K267" s="24"/>
      <c r="L267" s="24"/>
      <c r="M267" s="24"/>
      <c r="N267" s="24"/>
      <c r="O267" s="24"/>
      <c r="P267" s="24"/>
      <c r="Q267" s="24"/>
      <c r="R267" s="24"/>
      <c r="S267" s="24"/>
      <c r="T267" s="24"/>
      <c r="U267" s="24"/>
      <c r="V267" s="24"/>
      <c r="W267" s="24"/>
      <c r="X267" s="24"/>
      <c r="Y267" s="24"/>
      <c r="Z267" s="24"/>
      <c r="AA267" s="24"/>
      <c r="AB267" s="24"/>
      <c r="AC267" s="24"/>
      <c r="AD267" s="24"/>
      <c r="AE267" s="24"/>
      <c r="AF267" s="24"/>
      <c r="AG267" s="24"/>
      <c r="AH267" s="24"/>
      <c r="AI267" s="24"/>
      <c r="AJ267" s="24"/>
      <c r="AK267" s="24"/>
      <c r="AL267" s="24"/>
      <c r="AM267" s="24"/>
      <c r="AN267" s="24"/>
      <c r="AO267" s="24"/>
      <c r="AP267" s="24"/>
      <c r="AQ267" s="24"/>
      <c r="AR267" s="24"/>
    </row>
    <row r="268" spans="1:44" x14ac:dyDescent="0.3">
      <c r="A268" s="24"/>
      <c r="B268" s="41" t="s">
        <v>399</v>
      </c>
      <c r="C268" s="24"/>
      <c r="D268" s="24"/>
      <c r="F268" s="24"/>
      <c r="G268" s="24"/>
      <c r="H268" s="24"/>
      <c r="I268" s="24"/>
      <c r="J268" s="24"/>
      <c r="K268" s="24"/>
      <c r="L268" s="24"/>
      <c r="M268" s="24"/>
      <c r="N268" s="24"/>
      <c r="O268" s="24"/>
      <c r="P268" s="24"/>
      <c r="Q268" s="24"/>
      <c r="R268" s="24"/>
      <c r="S268" s="24"/>
      <c r="T268" s="24"/>
      <c r="U268" s="24"/>
      <c r="V268" s="24"/>
      <c r="W268" s="24"/>
      <c r="X268" s="24"/>
      <c r="Y268" s="24"/>
      <c r="Z268" s="24"/>
      <c r="AA268" s="24"/>
      <c r="AB268" s="24"/>
      <c r="AC268" s="24"/>
      <c r="AD268" s="24"/>
      <c r="AE268" s="24"/>
      <c r="AF268" s="24"/>
      <c r="AG268" s="24"/>
      <c r="AH268" s="24"/>
      <c r="AI268" s="24"/>
      <c r="AJ268" s="24"/>
      <c r="AK268" s="24"/>
      <c r="AL268" s="24"/>
      <c r="AM268" s="24"/>
      <c r="AN268" s="24"/>
      <c r="AO268" s="24"/>
      <c r="AP268" s="24"/>
      <c r="AQ268" s="24"/>
      <c r="AR268" s="24"/>
    </row>
    <row r="269" spans="1:44" x14ac:dyDescent="0.3">
      <c r="A269" s="24"/>
      <c r="B269" s="41" t="s">
        <v>32</v>
      </c>
      <c r="C269" s="24"/>
      <c r="D269" s="24"/>
      <c r="F269" s="24"/>
      <c r="G269" s="24"/>
      <c r="H269" s="24"/>
      <c r="I269" s="24"/>
      <c r="J269" s="24"/>
      <c r="K269" s="24"/>
      <c r="L269" s="24"/>
      <c r="M269" s="24"/>
      <c r="N269" s="24"/>
      <c r="O269" s="24"/>
      <c r="P269" s="24"/>
      <c r="Q269" s="24"/>
      <c r="R269" s="24"/>
      <c r="S269" s="24"/>
      <c r="T269" s="24"/>
      <c r="U269" s="24"/>
      <c r="V269" s="24"/>
      <c r="W269" s="24"/>
      <c r="X269" s="24"/>
      <c r="Y269" s="24"/>
      <c r="Z269" s="24"/>
      <c r="AA269" s="24"/>
      <c r="AB269" s="24"/>
      <c r="AC269" s="24"/>
      <c r="AD269" s="24"/>
      <c r="AE269" s="24"/>
      <c r="AF269" s="24"/>
      <c r="AG269" s="24"/>
      <c r="AH269" s="24"/>
      <c r="AI269" s="24"/>
      <c r="AJ269" s="24"/>
      <c r="AK269" s="24"/>
      <c r="AL269" s="24"/>
      <c r="AM269" s="24"/>
      <c r="AN269" s="24"/>
      <c r="AO269" s="24"/>
      <c r="AP269" s="24"/>
      <c r="AQ269" s="24"/>
      <c r="AR269" s="24"/>
    </row>
    <row r="270" spans="1:44" x14ac:dyDescent="0.3">
      <c r="A270" s="24"/>
      <c r="B270" s="41" t="s">
        <v>31</v>
      </c>
      <c r="C270" s="24"/>
      <c r="D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row>
    <row r="271" spans="1:44" x14ac:dyDescent="0.3">
      <c r="A271" s="24"/>
      <c r="B271" s="41" t="s">
        <v>25</v>
      </c>
      <c r="C271" s="24"/>
      <c r="D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row>
    <row r="272" spans="1:44" x14ac:dyDescent="0.3">
      <c r="A272" s="24"/>
      <c r="B272" s="41" t="s">
        <v>417</v>
      </c>
      <c r="C272" s="24"/>
      <c r="D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row>
    <row r="273" spans="1:44" x14ac:dyDescent="0.3">
      <c r="A273" s="24"/>
      <c r="B273" s="41" t="s">
        <v>390</v>
      </c>
      <c r="C273" s="24"/>
      <c r="D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row>
    <row r="274" spans="1:44" x14ac:dyDescent="0.3">
      <c r="A274" s="24"/>
      <c r="B274" s="41" t="s">
        <v>30</v>
      </c>
      <c r="C274" s="24"/>
      <c r="D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row>
    <row r="275" spans="1:44" x14ac:dyDescent="0.3">
      <c r="A275" s="24"/>
      <c r="B275" s="41" t="s">
        <v>414</v>
      </c>
      <c r="C275" s="24"/>
      <c r="D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row>
    <row r="276" spans="1:44" x14ac:dyDescent="0.3">
      <c r="A276" s="24"/>
      <c r="B276" s="41" t="s">
        <v>380</v>
      </c>
      <c r="C276" s="24"/>
      <c r="D276" s="24"/>
      <c r="F276" s="24"/>
      <c r="G276" s="24"/>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row>
    <row r="277" spans="1:44" x14ac:dyDescent="0.3">
      <c r="A277" s="24"/>
      <c r="B277" s="41" t="s">
        <v>416</v>
      </c>
      <c r="C277" s="24"/>
      <c r="D277" s="24"/>
      <c r="F277" s="24"/>
      <c r="G277" s="24"/>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row>
    <row r="278" spans="1:44" x14ac:dyDescent="0.3">
      <c r="A278" s="24"/>
      <c r="B278" s="41" t="s">
        <v>387</v>
      </c>
      <c r="C278" s="24"/>
      <c r="D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row>
    <row r="279" spans="1:44" x14ac:dyDescent="0.3">
      <c r="A279" s="24"/>
      <c r="B279" s="41" t="s">
        <v>397</v>
      </c>
      <c r="C279" s="24"/>
      <c r="D279" s="24"/>
      <c r="F279" s="24"/>
      <c r="G279" s="24"/>
      <c r="H279" s="24"/>
      <c r="I279" s="24"/>
      <c r="J279" s="24"/>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row>
    <row r="280" spans="1:44" x14ac:dyDescent="0.3">
      <c r="A280" s="24"/>
      <c r="B280" s="41" t="s">
        <v>23</v>
      </c>
      <c r="C280" s="24"/>
      <c r="D280" s="24"/>
      <c r="F280" s="24"/>
      <c r="G280" s="24"/>
      <c r="H280" s="24"/>
      <c r="I280" s="24"/>
      <c r="J280" s="24"/>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row>
    <row r="281" spans="1:44" x14ac:dyDescent="0.3">
      <c r="A281" s="24"/>
      <c r="B281" s="41" t="s">
        <v>413</v>
      </c>
      <c r="C281" s="24"/>
      <c r="D281" s="24"/>
      <c r="F281" s="24"/>
      <c r="G281" s="24"/>
      <c r="H281" s="24"/>
      <c r="I281" s="24"/>
      <c r="J281" s="24"/>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row>
    <row r="282" spans="1:44" x14ac:dyDescent="0.3">
      <c r="A282" s="24"/>
      <c r="B282" s="41" t="s">
        <v>415</v>
      </c>
      <c r="C282" s="24"/>
      <c r="D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row>
    <row r="283" spans="1:44" x14ac:dyDescent="0.3">
      <c r="A283" s="24"/>
      <c r="B283" s="41" t="s">
        <v>384</v>
      </c>
      <c r="C283" s="24"/>
      <c r="D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row>
    <row r="284" spans="1:44" x14ac:dyDescent="0.3">
      <c r="A284" s="24"/>
      <c r="B284" s="41" t="s">
        <v>425</v>
      </c>
      <c r="C284" s="24"/>
      <c r="D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row>
    <row r="285" spans="1:44" x14ac:dyDescent="0.3">
      <c r="A285" s="24"/>
      <c r="B285" s="41" t="s">
        <v>400</v>
      </c>
      <c r="C285" s="24"/>
      <c r="D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row>
    <row r="286" spans="1:44" x14ac:dyDescent="0.3">
      <c r="A286" s="24"/>
      <c r="B286" s="41" t="s">
        <v>395</v>
      </c>
      <c r="C286" s="24"/>
      <c r="D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row>
    <row r="287" spans="1:44" x14ac:dyDescent="0.3">
      <c r="A287" s="24"/>
      <c r="B287" s="41" t="s">
        <v>28</v>
      </c>
      <c r="C287" s="24"/>
      <c r="D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row>
    <row r="288" spans="1:44" x14ac:dyDescent="0.3">
      <c r="A288" s="24"/>
      <c r="B288" s="41" t="s">
        <v>392</v>
      </c>
      <c r="C288" s="24"/>
      <c r="D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row>
    <row r="289" spans="1:44" x14ac:dyDescent="0.3">
      <c r="A289" s="24"/>
      <c r="B289" s="41" t="s">
        <v>386</v>
      </c>
      <c r="C289" s="24"/>
      <c r="D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row>
    <row r="290" spans="1:44" x14ac:dyDescent="0.3">
      <c r="A290" s="24"/>
      <c r="B290" s="41" t="s">
        <v>26</v>
      </c>
      <c r="C290" s="24"/>
      <c r="D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row>
    <row r="291" spans="1:44" x14ac:dyDescent="0.3">
      <c r="A291" s="24"/>
      <c r="B291" s="41" t="s">
        <v>398</v>
      </c>
      <c r="C291" s="24"/>
      <c r="D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row>
    <row r="292" spans="1:44" x14ac:dyDescent="0.3">
      <c r="A292" s="24"/>
      <c r="B292" s="41" t="s">
        <v>426</v>
      </c>
      <c r="C292" s="24"/>
      <c r="D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row>
    <row r="293" spans="1:44" x14ac:dyDescent="0.3">
      <c r="A293" s="24"/>
      <c r="B293" s="41" t="s">
        <v>427</v>
      </c>
      <c r="C293" s="24"/>
      <c r="D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row>
    <row r="294" spans="1:44" x14ac:dyDescent="0.3">
      <c r="A294" s="24"/>
      <c r="B294" s="41" t="s">
        <v>24</v>
      </c>
      <c r="C294" s="24"/>
      <c r="D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row>
    <row r="295" spans="1:44" x14ac:dyDescent="0.3">
      <c r="A295" s="24"/>
      <c r="B295" s="41" t="s">
        <v>393</v>
      </c>
      <c r="C295" s="24"/>
      <c r="D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c r="AC295" s="24"/>
      <c r="AD295" s="24"/>
      <c r="AE295" s="24"/>
      <c r="AF295" s="24"/>
      <c r="AG295" s="24"/>
      <c r="AH295" s="24"/>
      <c r="AI295" s="24"/>
      <c r="AJ295" s="24"/>
      <c r="AK295" s="24"/>
      <c r="AL295" s="24"/>
      <c r="AM295" s="24"/>
      <c r="AN295" s="24"/>
      <c r="AO295" s="24"/>
      <c r="AP295" s="24"/>
      <c r="AQ295" s="24"/>
      <c r="AR295" s="24"/>
    </row>
    <row r="296" spans="1:44" x14ac:dyDescent="0.3">
      <c r="A296" s="24"/>
      <c r="B296" s="41" t="s">
        <v>406</v>
      </c>
      <c r="C296" s="24"/>
      <c r="D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row>
    <row r="297" spans="1:44" x14ac:dyDescent="0.3">
      <c r="A297" s="24"/>
      <c r="B297" s="41" t="s">
        <v>29</v>
      </c>
      <c r="C297" s="24"/>
      <c r="D297" s="24"/>
      <c r="F297" s="24"/>
      <c r="G297" s="24"/>
      <c r="H297" s="24"/>
      <c r="I297" s="24"/>
      <c r="J297" s="24"/>
      <c r="K297" s="24"/>
      <c r="L297" s="24"/>
      <c r="M297" s="24"/>
      <c r="N297" s="24"/>
      <c r="O297" s="24"/>
      <c r="P297" s="24"/>
      <c r="Q297" s="24"/>
      <c r="R297" s="24"/>
      <c r="S297" s="24"/>
      <c r="T297" s="24"/>
      <c r="U297" s="24"/>
      <c r="V297" s="24"/>
      <c r="W297" s="24"/>
      <c r="X297" s="24"/>
      <c r="Y297" s="24"/>
      <c r="Z297" s="24"/>
      <c r="AA297" s="24"/>
      <c r="AB297" s="24"/>
      <c r="AC297" s="24"/>
      <c r="AD297" s="24"/>
      <c r="AE297" s="24"/>
      <c r="AF297" s="24"/>
      <c r="AG297" s="24"/>
      <c r="AH297" s="24"/>
      <c r="AI297" s="24"/>
      <c r="AJ297" s="24"/>
      <c r="AK297" s="24"/>
      <c r="AL297" s="24"/>
      <c r="AM297" s="24"/>
      <c r="AN297" s="24"/>
      <c r="AO297" s="24"/>
      <c r="AP297" s="24"/>
      <c r="AQ297" s="24"/>
      <c r="AR297" s="24"/>
    </row>
    <row r="298" spans="1:44" x14ac:dyDescent="0.3">
      <c r="A298" s="24"/>
      <c r="B298" s="41" t="s">
        <v>22</v>
      </c>
      <c r="C298" s="24"/>
      <c r="D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c r="AC298" s="24"/>
      <c r="AD298" s="24"/>
      <c r="AE298" s="24"/>
      <c r="AF298" s="24"/>
      <c r="AG298" s="24"/>
      <c r="AH298" s="24"/>
      <c r="AI298" s="24"/>
      <c r="AJ298" s="24"/>
      <c r="AK298" s="24"/>
      <c r="AL298" s="24"/>
      <c r="AM298" s="24"/>
      <c r="AN298" s="24"/>
      <c r="AO298" s="24"/>
      <c r="AP298" s="24"/>
      <c r="AQ298" s="24"/>
      <c r="AR298" s="24"/>
    </row>
    <row r="299" spans="1:44" x14ac:dyDescent="0.3">
      <c r="A299" s="24"/>
      <c r="B299" s="41" t="s">
        <v>424</v>
      </c>
      <c r="C299" s="24"/>
      <c r="D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c r="AC299" s="24"/>
      <c r="AD299" s="24"/>
      <c r="AE299" s="24"/>
      <c r="AF299" s="24"/>
      <c r="AG299" s="24"/>
      <c r="AH299" s="24"/>
      <c r="AI299" s="24"/>
      <c r="AJ299" s="24"/>
      <c r="AK299" s="24"/>
      <c r="AL299" s="24"/>
      <c r="AM299" s="24"/>
      <c r="AN299" s="24"/>
      <c r="AO299" s="24"/>
      <c r="AP299" s="24"/>
      <c r="AQ299" s="24"/>
      <c r="AR299" s="24"/>
    </row>
    <row r="300" spans="1:44" x14ac:dyDescent="0.3">
      <c r="A300" s="24"/>
      <c r="B300" s="41" t="s">
        <v>388</v>
      </c>
      <c r="C300" s="24"/>
      <c r="D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c r="AC300" s="24"/>
      <c r="AD300" s="24"/>
      <c r="AE300" s="24"/>
      <c r="AF300" s="24"/>
      <c r="AG300" s="24"/>
      <c r="AH300" s="24"/>
      <c r="AI300" s="24"/>
      <c r="AJ300" s="24"/>
      <c r="AK300" s="24"/>
      <c r="AL300" s="24"/>
      <c r="AM300" s="24"/>
      <c r="AN300" s="24"/>
      <c r="AO300" s="24"/>
      <c r="AP300" s="24"/>
      <c r="AQ300" s="24"/>
      <c r="AR300" s="24"/>
    </row>
    <row r="301" spans="1:44" x14ac:dyDescent="0.3">
      <c r="A301" s="24"/>
      <c r="B301" s="41" t="s">
        <v>401</v>
      </c>
      <c r="C301" s="24"/>
      <c r="D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c r="AC301" s="24"/>
      <c r="AD301" s="24"/>
      <c r="AE301" s="24"/>
      <c r="AF301" s="24"/>
      <c r="AG301" s="24"/>
      <c r="AH301" s="24"/>
      <c r="AI301" s="24"/>
      <c r="AJ301" s="24"/>
      <c r="AK301" s="24"/>
      <c r="AL301" s="24"/>
      <c r="AM301" s="24"/>
      <c r="AN301" s="24"/>
      <c r="AO301" s="24"/>
      <c r="AP301" s="24"/>
      <c r="AQ301" s="24"/>
      <c r="AR301" s="24"/>
    </row>
    <row r="302" spans="1:44" x14ac:dyDescent="0.3">
      <c r="A302" s="24"/>
      <c r="B302" s="41" t="s">
        <v>422</v>
      </c>
      <c r="C302" s="24"/>
      <c r="D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row>
    <row r="303" spans="1:44" x14ac:dyDescent="0.3">
      <c r="A303" s="24"/>
      <c r="B303" s="41" t="s">
        <v>421</v>
      </c>
      <c r="C303" s="24"/>
      <c r="D303" s="24"/>
      <c r="F303" s="24"/>
      <c r="G303" s="24"/>
      <c r="H303" s="24"/>
      <c r="I303" s="24"/>
      <c r="J303" s="24"/>
      <c r="K303" s="24"/>
      <c r="L303" s="24"/>
      <c r="M303" s="24"/>
      <c r="N303" s="24"/>
      <c r="O303" s="24"/>
      <c r="P303" s="24"/>
      <c r="Q303" s="24"/>
      <c r="R303" s="24"/>
      <c r="S303" s="24"/>
      <c r="T303" s="24"/>
      <c r="U303" s="24"/>
      <c r="V303" s="24"/>
      <c r="W303" s="24"/>
      <c r="X303" s="24"/>
      <c r="Y303" s="24"/>
      <c r="Z303" s="24"/>
      <c r="AA303" s="24"/>
      <c r="AB303" s="24"/>
      <c r="AC303" s="24"/>
      <c r="AD303" s="24"/>
      <c r="AE303" s="24"/>
      <c r="AF303" s="24"/>
      <c r="AG303" s="24"/>
      <c r="AH303" s="24"/>
      <c r="AI303" s="24"/>
      <c r="AJ303" s="24"/>
      <c r="AK303" s="24"/>
      <c r="AL303" s="24"/>
      <c r="AM303" s="24"/>
      <c r="AN303" s="24"/>
      <c r="AO303" s="24"/>
      <c r="AP303" s="24"/>
      <c r="AQ303" s="24"/>
      <c r="AR303" s="24"/>
    </row>
    <row r="304" spans="1:44" x14ac:dyDescent="0.3">
      <c r="A304" s="24"/>
      <c r="B304" s="41" t="s">
        <v>418</v>
      </c>
      <c r="C304" s="24"/>
      <c r="D304" s="24"/>
      <c r="F304" s="24"/>
      <c r="G304" s="24"/>
      <c r="H304" s="24"/>
      <c r="I304" s="24"/>
      <c r="J304" s="24"/>
      <c r="K304" s="24"/>
      <c r="L304" s="24"/>
      <c r="M304" s="24"/>
      <c r="N304" s="24"/>
      <c r="O304" s="24"/>
      <c r="P304" s="24"/>
      <c r="Q304" s="24"/>
      <c r="R304" s="24"/>
      <c r="S304" s="24"/>
      <c r="T304" s="24"/>
      <c r="U304" s="24"/>
      <c r="V304" s="24"/>
      <c r="W304" s="24"/>
      <c r="X304" s="24"/>
      <c r="Y304" s="24"/>
      <c r="Z304" s="24"/>
      <c r="AA304" s="24"/>
      <c r="AB304" s="24"/>
      <c r="AC304" s="24"/>
      <c r="AD304" s="24"/>
      <c r="AE304" s="24"/>
      <c r="AF304" s="24"/>
      <c r="AG304" s="24"/>
      <c r="AH304" s="24"/>
      <c r="AI304" s="24"/>
      <c r="AJ304" s="24"/>
      <c r="AK304" s="24"/>
      <c r="AL304" s="24"/>
      <c r="AM304" s="24"/>
      <c r="AN304" s="24"/>
      <c r="AO304" s="24"/>
      <c r="AP304" s="24"/>
      <c r="AQ304" s="24"/>
      <c r="AR304" s="24"/>
    </row>
    <row r="305" spans="1:44" x14ac:dyDescent="0.3">
      <c r="A305" s="24"/>
      <c r="B305" s="41" t="s">
        <v>410</v>
      </c>
      <c r="C305" s="24"/>
      <c r="D305" s="24"/>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row>
    <row r="306" spans="1:44" x14ac:dyDescent="0.3">
      <c r="A306" s="24"/>
      <c r="B306" s="41" t="s">
        <v>391</v>
      </c>
      <c r="C306" s="24"/>
      <c r="D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row>
    <row r="307" spans="1:44" x14ac:dyDescent="0.3">
      <c r="A307" s="24"/>
      <c r="B307" s="41" t="s">
        <v>33</v>
      </c>
      <c r="C307" s="24"/>
      <c r="D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row>
    <row r="308" spans="1:44" x14ac:dyDescent="0.3">
      <c r="A308" s="24"/>
      <c r="B308" s="41" t="s">
        <v>407</v>
      </c>
      <c r="C308" s="24"/>
      <c r="D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row>
    <row r="309" spans="1:44" x14ac:dyDescent="0.3">
      <c r="A309" s="24"/>
      <c r="B309" s="41" t="s">
        <v>408</v>
      </c>
      <c r="C309" s="24"/>
      <c r="D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row>
    <row r="310" spans="1:44" x14ac:dyDescent="0.3">
      <c r="A310" s="24"/>
      <c r="B310" s="41" t="s">
        <v>409</v>
      </c>
      <c r="C310" s="24"/>
      <c r="D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row>
    <row r="311" spans="1:44" x14ac:dyDescent="0.3">
      <c r="A311" s="24"/>
      <c r="B311" s="41" t="s">
        <v>385</v>
      </c>
      <c r="C311" s="24"/>
      <c r="D311" s="24"/>
      <c r="F311" s="24"/>
      <c r="G311" s="24"/>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row>
    <row r="312" spans="1:44" x14ac:dyDescent="0.3">
      <c r="A312" s="24"/>
      <c r="B312" s="41" t="s">
        <v>383</v>
      </c>
      <c r="C312" s="24"/>
      <c r="D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row>
    <row r="313" spans="1:44" x14ac:dyDescent="0.3">
      <c r="A313" s="24"/>
      <c r="B313" s="41" t="s">
        <v>423</v>
      </c>
      <c r="C313" s="24"/>
      <c r="D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row>
    <row r="314" spans="1:44" x14ac:dyDescent="0.3">
      <c r="A314" s="24"/>
      <c r="B314" s="41" t="s">
        <v>389</v>
      </c>
      <c r="C314" s="24"/>
      <c r="D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row>
    <row r="315" spans="1:44" x14ac:dyDescent="0.3">
      <c r="A315" s="24"/>
      <c r="B315" s="41" t="s">
        <v>613</v>
      </c>
      <c r="C315" s="24"/>
      <c r="D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row>
    <row r="316" spans="1:44" x14ac:dyDescent="0.3">
      <c r="A316" s="24"/>
      <c r="B316" s="41" t="s">
        <v>420</v>
      </c>
      <c r="C316" s="24"/>
      <c r="D316" s="24"/>
      <c r="F316" s="24"/>
      <c r="G316" s="24"/>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row>
    <row r="317" spans="1:44" x14ac:dyDescent="0.3">
      <c r="A317" s="24"/>
      <c r="B317" s="41" t="s">
        <v>411</v>
      </c>
      <c r="C317" s="24"/>
      <c r="D317" s="24"/>
      <c r="F317" s="24"/>
      <c r="G317" s="24"/>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row>
    <row r="318" spans="1:44" ht="18" thickBot="1" x14ac:dyDescent="0.35">
      <c r="A318" s="24"/>
      <c r="B318" s="59" t="s">
        <v>394</v>
      </c>
      <c r="C318" s="24"/>
      <c r="D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row>
    <row r="319" spans="1:44" x14ac:dyDescent="0.3">
      <c r="A319" s="24"/>
      <c r="B319" s="24" t="s">
        <v>552</v>
      </c>
      <c r="C319" s="24"/>
      <c r="D319" s="24"/>
      <c r="F319" s="24"/>
      <c r="G319" s="24"/>
      <c r="H319" s="24"/>
      <c r="I319" s="2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row>
    <row r="320" spans="1:44" x14ac:dyDescent="0.3">
      <c r="A320" s="24"/>
      <c r="B320" s="24"/>
      <c r="C320" s="24"/>
      <c r="D320" s="24"/>
      <c r="F320" s="24"/>
      <c r="G320" s="24"/>
      <c r="H320" s="24"/>
      <c r="I320" s="2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row>
    <row r="321" spans="1:44" ht="18" thickBot="1" x14ac:dyDescent="0.35">
      <c r="A321" s="24"/>
      <c r="B321" s="24"/>
      <c r="C321" s="24"/>
      <c r="D321" s="24"/>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row>
    <row r="322" spans="1:44" ht="18" thickBot="1" x14ac:dyDescent="0.35">
      <c r="A322" s="24"/>
      <c r="B322" s="85" t="s">
        <v>559</v>
      </c>
      <c r="C322" s="87" t="s">
        <v>558</v>
      </c>
      <c r="D322" s="24" t="s">
        <v>729</v>
      </c>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row>
    <row r="323" spans="1:44" x14ac:dyDescent="0.3">
      <c r="A323" s="24"/>
      <c r="B323" s="84" t="s">
        <v>553</v>
      </c>
      <c r="C323" s="41" t="s">
        <v>48</v>
      </c>
      <c r="D323" s="24" t="s">
        <v>728</v>
      </c>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row>
    <row r="324" spans="1:44" x14ac:dyDescent="0.3">
      <c r="A324" s="24"/>
      <c r="B324" s="41" t="s">
        <v>554</v>
      </c>
      <c r="C324" s="41" t="s">
        <v>49</v>
      </c>
      <c r="D324" s="24" t="s">
        <v>728</v>
      </c>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row>
    <row r="325" spans="1:44" x14ac:dyDescent="0.3">
      <c r="A325" s="24"/>
      <c r="B325" s="41" t="s">
        <v>555</v>
      </c>
      <c r="C325" s="41" t="s">
        <v>50</v>
      </c>
      <c r="D325" s="24" t="s">
        <v>728</v>
      </c>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row>
    <row r="326" spans="1:44" x14ac:dyDescent="0.3">
      <c r="A326" s="24"/>
      <c r="B326" s="41" t="s">
        <v>556</v>
      </c>
      <c r="C326" s="41" t="s">
        <v>81</v>
      </c>
      <c r="D326" s="24" t="s">
        <v>728</v>
      </c>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row>
    <row r="327" spans="1:44" x14ac:dyDescent="0.3">
      <c r="A327" s="24"/>
      <c r="B327" s="41"/>
      <c r="C327" s="41" t="s">
        <v>82</v>
      </c>
      <c r="D327" s="24" t="s">
        <v>728</v>
      </c>
      <c r="F327" s="24"/>
      <c r="G327" s="24"/>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row>
    <row r="328" spans="1:44" x14ac:dyDescent="0.3">
      <c r="A328" s="24"/>
      <c r="B328" s="41"/>
      <c r="C328" s="41" t="s">
        <v>52</v>
      </c>
      <c r="D328" s="24" t="s">
        <v>728</v>
      </c>
      <c r="F328" s="24"/>
      <c r="G328" s="24"/>
      <c r="H328" s="24"/>
      <c r="I328" s="24"/>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row>
    <row r="329" spans="1:44" x14ac:dyDescent="0.3">
      <c r="A329" s="24"/>
      <c r="B329" s="41"/>
      <c r="C329" s="41" t="s">
        <v>85</v>
      </c>
      <c r="D329" s="24" t="s">
        <v>726</v>
      </c>
      <c r="F329" s="24"/>
      <c r="G329" s="24"/>
      <c r="H329" s="24"/>
      <c r="I329" s="24"/>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row>
    <row r="330" spans="1:44" x14ac:dyDescent="0.3">
      <c r="A330" s="24"/>
      <c r="B330" s="41"/>
      <c r="C330" s="41" t="s">
        <v>86</v>
      </c>
      <c r="D330" s="24" t="s">
        <v>726</v>
      </c>
      <c r="F330" s="24"/>
      <c r="G330" s="24"/>
      <c r="H330" s="24"/>
      <c r="I330" s="24"/>
      <c r="J330" s="24"/>
      <c r="K330" s="24"/>
      <c r="L330" s="24"/>
      <c r="M330" s="24"/>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row>
    <row r="331" spans="1:44" x14ac:dyDescent="0.3">
      <c r="A331" s="24"/>
      <c r="B331" s="41"/>
      <c r="C331" s="41" t="s">
        <v>60</v>
      </c>
      <c r="D331" s="24" t="s">
        <v>726</v>
      </c>
      <c r="F331" s="24"/>
      <c r="G331" s="24"/>
      <c r="H331" s="24"/>
      <c r="I331" s="24"/>
      <c r="J331" s="24"/>
      <c r="K331" s="24"/>
      <c r="L331" s="24"/>
      <c r="M331" s="24"/>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row>
    <row r="332" spans="1:44" x14ac:dyDescent="0.3">
      <c r="A332" s="24"/>
      <c r="B332" s="41"/>
      <c r="C332" s="41" t="s">
        <v>84</v>
      </c>
      <c r="D332" s="24" t="s">
        <v>727</v>
      </c>
      <c r="F332" s="24"/>
      <c r="G332" s="24"/>
      <c r="H332" s="24"/>
      <c r="I332" s="24"/>
      <c r="J332" s="24"/>
      <c r="K332" s="24"/>
      <c r="L332" s="24"/>
      <c r="M332" s="24"/>
      <c r="N332" s="24"/>
      <c r="O332" s="24"/>
      <c r="P332" s="24"/>
      <c r="Q332" s="24"/>
      <c r="R332" s="24"/>
      <c r="S332" s="24"/>
      <c r="T332" s="24"/>
      <c r="U332" s="24"/>
      <c r="V332" s="24"/>
      <c r="W332" s="24"/>
      <c r="X332" s="24"/>
      <c r="Y332" s="24"/>
      <c r="Z332" s="24"/>
      <c r="AA332" s="24"/>
      <c r="AB332" s="24"/>
      <c r="AC332" s="24"/>
      <c r="AD332" s="24"/>
      <c r="AE332" s="24"/>
      <c r="AF332" s="24"/>
      <c r="AG332" s="24"/>
      <c r="AH332" s="24"/>
      <c r="AI332" s="24"/>
      <c r="AJ332" s="24"/>
      <c r="AK332" s="24"/>
      <c r="AL332" s="24"/>
      <c r="AM332" s="24"/>
      <c r="AN332" s="24"/>
      <c r="AO332" s="24"/>
      <c r="AP332" s="24"/>
      <c r="AQ332" s="24"/>
      <c r="AR332" s="24"/>
    </row>
    <row r="333" spans="1:44" x14ac:dyDescent="0.3">
      <c r="A333" s="24"/>
      <c r="B333" s="41"/>
      <c r="C333" s="41" t="s">
        <v>64</v>
      </c>
      <c r="D333" s="24" t="s">
        <v>727</v>
      </c>
      <c r="F333" s="24"/>
      <c r="G333" s="24"/>
      <c r="H333" s="24"/>
      <c r="I333" s="24"/>
      <c r="J333" s="24"/>
      <c r="K333" s="24"/>
      <c r="L333" s="24"/>
      <c r="M333" s="24"/>
      <c r="N333" s="24"/>
      <c r="O333" s="24"/>
      <c r="P333" s="24"/>
      <c r="Q333" s="24"/>
      <c r="R333" s="24"/>
      <c r="S333" s="24"/>
      <c r="T333" s="24"/>
      <c r="U333" s="24"/>
      <c r="V333" s="24"/>
      <c r="W333" s="24"/>
      <c r="X333" s="24"/>
      <c r="Y333" s="24"/>
      <c r="Z333" s="24"/>
      <c r="AA333" s="24"/>
      <c r="AB333" s="24"/>
      <c r="AC333" s="24"/>
      <c r="AD333" s="24"/>
      <c r="AE333" s="24"/>
      <c r="AF333" s="24"/>
      <c r="AG333" s="24"/>
      <c r="AH333" s="24"/>
      <c r="AI333" s="24"/>
      <c r="AJ333" s="24"/>
      <c r="AK333" s="24"/>
      <c r="AL333" s="24"/>
      <c r="AM333" s="24"/>
      <c r="AN333" s="24"/>
      <c r="AO333" s="24"/>
      <c r="AP333" s="24"/>
      <c r="AQ333" s="24"/>
      <c r="AR333" s="24"/>
    </row>
    <row r="334" spans="1:44" x14ac:dyDescent="0.3">
      <c r="A334" s="24"/>
      <c r="B334" s="41"/>
      <c r="C334" s="41" t="s">
        <v>83</v>
      </c>
      <c r="D334" s="24" t="s">
        <v>727</v>
      </c>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row>
    <row r="335" spans="1:44" x14ac:dyDescent="0.3">
      <c r="A335" s="24"/>
      <c r="B335" s="41"/>
      <c r="C335" s="41" t="s">
        <v>66</v>
      </c>
      <c r="D335" s="24" t="s">
        <v>727</v>
      </c>
      <c r="F335" s="24"/>
      <c r="G335" s="24"/>
      <c r="H335" s="24"/>
      <c r="I335" s="24"/>
      <c r="J335" s="24"/>
      <c r="K335" s="24"/>
      <c r="L335" s="24"/>
      <c r="M335" s="24"/>
      <c r="N335" s="24"/>
      <c r="O335" s="24"/>
      <c r="P335" s="24"/>
      <c r="Q335" s="24"/>
      <c r="R335" s="24"/>
      <c r="S335" s="24"/>
      <c r="T335" s="24"/>
      <c r="U335" s="24"/>
      <c r="V335" s="24"/>
      <c r="W335" s="24"/>
      <c r="X335" s="24"/>
      <c r="Y335" s="24"/>
      <c r="Z335" s="24"/>
      <c r="AA335" s="24"/>
      <c r="AB335" s="24"/>
      <c r="AC335" s="24"/>
      <c r="AD335" s="24"/>
      <c r="AE335" s="24"/>
      <c r="AF335" s="24"/>
      <c r="AG335" s="24"/>
      <c r="AH335" s="24"/>
      <c r="AI335" s="24"/>
      <c r="AJ335" s="24"/>
      <c r="AK335" s="24"/>
      <c r="AL335" s="24"/>
      <c r="AM335" s="24"/>
      <c r="AN335" s="24"/>
      <c r="AO335" s="24"/>
      <c r="AP335" s="24"/>
      <c r="AQ335" s="24"/>
      <c r="AR335" s="24"/>
    </row>
    <row r="336" spans="1:44" ht="18" thickBot="1" x14ac:dyDescent="0.35">
      <c r="A336" s="24"/>
      <c r="B336" s="59"/>
      <c r="C336" s="59" t="s">
        <v>67</v>
      </c>
      <c r="D336" s="24" t="s">
        <v>727</v>
      </c>
      <c r="F336" s="24"/>
      <c r="G336" s="24"/>
      <c r="H336" s="24"/>
      <c r="I336" s="24"/>
      <c r="J336" s="24"/>
      <c r="K336" s="24"/>
      <c r="L336" s="24"/>
      <c r="M336" s="24"/>
      <c r="N336" s="24"/>
      <c r="O336" s="24"/>
      <c r="P336" s="24"/>
      <c r="Q336" s="24"/>
      <c r="R336" s="24"/>
      <c r="S336" s="24"/>
      <c r="T336" s="24"/>
      <c r="U336" s="24"/>
      <c r="V336" s="24"/>
      <c r="W336" s="24"/>
      <c r="X336" s="24"/>
      <c r="Y336" s="24"/>
      <c r="Z336" s="24"/>
      <c r="AA336" s="24"/>
      <c r="AB336" s="24"/>
      <c r="AC336" s="24"/>
      <c r="AD336" s="24"/>
      <c r="AE336" s="24"/>
      <c r="AF336" s="24"/>
      <c r="AG336" s="24"/>
      <c r="AH336" s="24"/>
      <c r="AI336" s="24"/>
      <c r="AJ336" s="24"/>
      <c r="AK336" s="24"/>
      <c r="AL336" s="24"/>
      <c r="AM336" s="24"/>
      <c r="AN336" s="24"/>
      <c r="AO336" s="24"/>
      <c r="AP336" s="24"/>
      <c r="AQ336" s="24"/>
      <c r="AR336" s="24"/>
    </row>
    <row r="337" spans="1:44" x14ac:dyDescent="0.3">
      <c r="A337" s="24"/>
      <c r="B337" s="24" t="s">
        <v>557</v>
      </c>
      <c r="C337" s="24" t="s">
        <v>560</v>
      </c>
      <c r="D337" s="24"/>
      <c r="F337" s="24"/>
      <c r="G337" s="24"/>
      <c r="H337" s="24"/>
      <c r="I337" s="24"/>
      <c r="J337" s="24"/>
      <c r="K337" s="24"/>
      <c r="L337" s="24"/>
      <c r="M337" s="24"/>
      <c r="N337" s="24"/>
      <c r="O337" s="24"/>
      <c r="P337" s="24"/>
      <c r="Q337" s="24"/>
      <c r="R337" s="24"/>
      <c r="S337" s="24"/>
      <c r="T337" s="24"/>
      <c r="U337" s="24"/>
      <c r="V337" s="24"/>
      <c r="W337" s="24"/>
      <c r="X337" s="24"/>
      <c r="Y337" s="24"/>
      <c r="Z337" s="24"/>
      <c r="AA337" s="24"/>
      <c r="AB337" s="24"/>
      <c r="AC337" s="24"/>
      <c r="AD337" s="24"/>
      <c r="AE337" s="24"/>
      <c r="AF337" s="24"/>
      <c r="AG337" s="24"/>
      <c r="AH337" s="24"/>
      <c r="AI337" s="24"/>
      <c r="AJ337" s="24"/>
      <c r="AK337" s="24"/>
      <c r="AL337" s="24"/>
      <c r="AM337" s="24"/>
      <c r="AN337" s="24"/>
      <c r="AO337" s="24"/>
      <c r="AP337" s="24"/>
      <c r="AQ337" s="24"/>
      <c r="AR337" s="24"/>
    </row>
    <row r="338" spans="1:44" x14ac:dyDescent="0.3">
      <c r="A338" s="24"/>
      <c r="B338" s="24"/>
      <c r="C338" s="24"/>
      <c r="D338" s="24"/>
      <c r="F338" s="24"/>
      <c r="G338" s="24"/>
      <c r="H338" s="24"/>
      <c r="I338" s="24"/>
      <c r="J338" s="24"/>
      <c r="K338" s="24"/>
      <c r="L338" s="24"/>
      <c r="M338" s="24"/>
      <c r="N338" s="24"/>
      <c r="O338" s="24"/>
      <c r="P338" s="24"/>
      <c r="Q338" s="24"/>
      <c r="R338" s="24"/>
      <c r="S338" s="24"/>
      <c r="T338" s="24"/>
      <c r="U338" s="24"/>
      <c r="V338" s="24"/>
      <c r="W338" s="24"/>
      <c r="X338" s="24"/>
      <c r="Y338" s="24"/>
      <c r="Z338" s="24"/>
      <c r="AA338" s="24"/>
      <c r="AB338" s="24"/>
      <c r="AC338" s="24"/>
      <c r="AD338" s="24"/>
      <c r="AE338" s="24"/>
      <c r="AF338" s="24"/>
      <c r="AG338" s="24"/>
      <c r="AH338" s="24"/>
      <c r="AI338" s="24"/>
      <c r="AJ338" s="24"/>
      <c r="AK338" s="24"/>
      <c r="AL338" s="24"/>
      <c r="AM338" s="24"/>
      <c r="AN338" s="24"/>
      <c r="AO338" s="24"/>
      <c r="AP338" s="24"/>
      <c r="AQ338" s="24"/>
      <c r="AR338" s="24"/>
    </row>
    <row r="339" spans="1:44" ht="18" thickBot="1" x14ac:dyDescent="0.35">
      <c r="B339" s="24" t="s">
        <v>325</v>
      </c>
      <c r="C339" s="24"/>
      <c r="D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row>
    <row r="340" spans="1:44" x14ac:dyDescent="0.3">
      <c r="A340" s="24"/>
      <c r="B340" s="84" t="s">
        <v>553</v>
      </c>
      <c r="C340" s="65">
        <f>0.001*0.001</f>
        <v>9.9999999999999995E-7</v>
      </c>
      <c r="D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row>
    <row r="341" spans="1:44" x14ac:dyDescent="0.3">
      <c r="A341" s="24"/>
      <c r="B341" s="41" t="s">
        <v>554</v>
      </c>
      <c r="C341" s="26">
        <v>1E-3</v>
      </c>
      <c r="D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row>
    <row r="342" spans="1:44" x14ac:dyDescent="0.3">
      <c r="A342" s="24"/>
      <c r="B342" s="41" t="s">
        <v>555</v>
      </c>
      <c r="C342" s="3">
        <v>1</v>
      </c>
      <c r="D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row>
    <row r="343" spans="1:44" ht="18" thickBot="1" x14ac:dyDescent="0.35">
      <c r="A343" s="24"/>
      <c r="B343" s="59" t="s">
        <v>556</v>
      </c>
      <c r="C343" s="28">
        <f>(1/2.205)*0.001</f>
        <v>4.5351473922902491E-4</v>
      </c>
      <c r="D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row>
    <row r="344" spans="1:44" x14ac:dyDescent="0.3">
      <c r="A344" s="24"/>
      <c r="B344" s="24" t="s">
        <v>312</v>
      </c>
      <c r="C344" s="24"/>
      <c r="D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c r="AC344" s="24"/>
      <c r="AD344" s="24"/>
      <c r="AE344" s="24"/>
      <c r="AF344" s="24"/>
      <c r="AG344" s="24"/>
      <c r="AH344" s="24"/>
      <c r="AI344" s="24"/>
      <c r="AJ344" s="24"/>
      <c r="AK344" s="24"/>
      <c r="AL344" s="24"/>
      <c r="AM344" s="24"/>
      <c r="AN344" s="24"/>
      <c r="AO344" s="24"/>
      <c r="AP344" s="24"/>
      <c r="AQ344" s="24"/>
      <c r="AR344" s="24"/>
    </row>
    <row r="345" spans="1:44" x14ac:dyDescent="0.3">
      <c r="A345" s="24"/>
      <c r="B345" s="24"/>
      <c r="C345" s="24"/>
      <c r="D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c r="AC345" s="24"/>
      <c r="AD345" s="24"/>
      <c r="AE345" s="24"/>
      <c r="AF345" s="24"/>
      <c r="AG345" s="24"/>
      <c r="AH345" s="24"/>
      <c r="AI345" s="24"/>
      <c r="AJ345" s="24"/>
      <c r="AK345" s="24"/>
      <c r="AL345" s="24"/>
      <c r="AM345" s="24"/>
      <c r="AN345" s="24"/>
      <c r="AO345" s="24"/>
      <c r="AP345" s="24"/>
      <c r="AQ345" s="24"/>
      <c r="AR345" s="24"/>
    </row>
    <row r="346" spans="1:44" ht="18" thickBot="1" x14ac:dyDescent="0.35">
      <c r="B346" s="24" t="s">
        <v>326</v>
      </c>
      <c r="C346" s="24"/>
      <c r="D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c r="AC346" s="24"/>
      <c r="AD346" s="24"/>
      <c r="AE346" s="24"/>
      <c r="AF346" s="24"/>
      <c r="AG346" s="24"/>
      <c r="AH346" s="24"/>
      <c r="AI346" s="24"/>
      <c r="AJ346" s="24"/>
      <c r="AK346" s="24"/>
      <c r="AL346" s="24"/>
      <c r="AM346" s="24"/>
      <c r="AN346" s="24"/>
      <c r="AO346" s="24"/>
      <c r="AP346" s="24"/>
      <c r="AQ346" s="24"/>
      <c r="AR346" s="24"/>
    </row>
    <row r="347" spans="1:44" x14ac:dyDescent="0.3">
      <c r="A347" s="24"/>
      <c r="B347" s="84" t="s">
        <v>553</v>
      </c>
      <c r="C347" s="65">
        <f>1*1000*1000</f>
        <v>1000000</v>
      </c>
      <c r="D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c r="AC347" s="24"/>
      <c r="AD347" s="24"/>
      <c r="AE347" s="24"/>
      <c r="AF347" s="24"/>
      <c r="AG347" s="24"/>
      <c r="AH347" s="24"/>
      <c r="AI347" s="24"/>
      <c r="AJ347" s="24"/>
      <c r="AK347" s="24"/>
      <c r="AL347" s="24"/>
      <c r="AM347" s="24"/>
      <c r="AN347" s="24"/>
      <c r="AO347" s="24"/>
      <c r="AP347" s="24"/>
      <c r="AQ347" s="24"/>
      <c r="AR347" s="24"/>
    </row>
    <row r="348" spans="1:44" x14ac:dyDescent="0.3">
      <c r="A348" s="24"/>
      <c r="B348" s="41" t="s">
        <v>60</v>
      </c>
      <c r="C348" s="26">
        <v>1000</v>
      </c>
      <c r="D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c r="AC348" s="24"/>
      <c r="AD348" s="24"/>
      <c r="AE348" s="24"/>
      <c r="AF348" s="24"/>
      <c r="AG348" s="24"/>
      <c r="AH348" s="24"/>
      <c r="AI348" s="24"/>
      <c r="AJ348" s="24"/>
      <c r="AK348" s="24"/>
      <c r="AL348" s="24"/>
      <c r="AM348" s="24"/>
      <c r="AN348" s="24"/>
      <c r="AO348" s="24"/>
      <c r="AP348" s="24"/>
      <c r="AQ348" s="24"/>
      <c r="AR348" s="24"/>
    </row>
    <row r="349" spans="1:44" x14ac:dyDescent="0.3">
      <c r="A349" s="24"/>
      <c r="B349" s="41" t="s">
        <v>85</v>
      </c>
      <c r="C349" s="26">
        <v>1</v>
      </c>
      <c r="D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c r="AC349" s="24"/>
      <c r="AD349" s="24"/>
      <c r="AE349" s="24"/>
      <c r="AF349" s="24"/>
      <c r="AG349" s="24"/>
      <c r="AH349" s="24"/>
      <c r="AI349" s="24"/>
      <c r="AJ349" s="24"/>
      <c r="AK349" s="24"/>
      <c r="AL349" s="24"/>
      <c r="AM349" s="24"/>
      <c r="AN349" s="24"/>
      <c r="AO349" s="24"/>
      <c r="AP349" s="24"/>
      <c r="AQ349" s="24"/>
      <c r="AR349" s="24"/>
    </row>
    <row r="350" spans="1:44" x14ac:dyDescent="0.3">
      <c r="A350" s="24"/>
      <c r="B350" s="41" t="s">
        <v>86</v>
      </c>
      <c r="C350" s="26">
        <f>1*2.205*1000</f>
        <v>2205</v>
      </c>
      <c r="D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row>
    <row r="351" spans="1:44" x14ac:dyDescent="0.3">
      <c r="A351" s="24"/>
      <c r="B351" s="41" t="s">
        <v>48</v>
      </c>
      <c r="C351" s="26">
        <v>1</v>
      </c>
      <c r="D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c r="AC351" s="24"/>
      <c r="AD351" s="24"/>
      <c r="AE351" s="24"/>
      <c r="AF351" s="24"/>
      <c r="AG351" s="24"/>
      <c r="AH351" s="24"/>
      <c r="AI351" s="24"/>
      <c r="AJ351" s="24"/>
      <c r="AK351" s="24"/>
      <c r="AL351" s="24"/>
      <c r="AM351" s="24"/>
      <c r="AN351" s="24"/>
      <c r="AO351" s="24"/>
      <c r="AP351" s="24"/>
      <c r="AQ351" s="24"/>
      <c r="AR351" s="24"/>
    </row>
    <row r="352" spans="1:44" x14ac:dyDescent="0.3">
      <c r="A352" s="24"/>
      <c r="B352" s="41" t="s">
        <v>49</v>
      </c>
      <c r="C352" s="26">
        <v>1000</v>
      </c>
      <c r="D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c r="AC352" s="24"/>
      <c r="AD352" s="24"/>
      <c r="AE352" s="24"/>
      <c r="AF352" s="24"/>
      <c r="AG352" s="24"/>
      <c r="AH352" s="24"/>
      <c r="AI352" s="24"/>
      <c r="AJ352" s="24"/>
      <c r="AK352" s="24"/>
      <c r="AL352" s="24"/>
      <c r="AM352" s="24"/>
      <c r="AN352" s="24"/>
      <c r="AO352" s="24"/>
      <c r="AP352" s="24"/>
      <c r="AQ352" s="24"/>
      <c r="AR352" s="24"/>
    </row>
    <row r="353" spans="1:44" x14ac:dyDescent="0.3">
      <c r="A353" s="24"/>
      <c r="B353" s="41" t="s">
        <v>50</v>
      </c>
      <c r="C353" s="26">
        <f>1*1000*1000</f>
        <v>1000000</v>
      </c>
      <c r="D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c r="AC353" s="24"/>
      <c r="AD353" s="24"/>
      <c r="AE353" s="24"/>
      <c r="AF353" s="24"/>
      <c r="AG353" s="24"/>
      <c r="AH353" s="24"/>
      <c r="AI353" s="24"/>
      <c r="AJ353" s="24"/>
      <c r="AK353" s="24"/>
      <c r="AL353" s="24"/>
      <c r="AM353" s="24"/>
      <c r="AN353" s="24"/>
      <c r="AO353" s="24"/>
      <c r="AP353" s="24"/>
      <c r="AQ353" s="24"/>
      <c r="AR353" s="24"/>
    </row>
    <row r="354" spans="1:44" x14ac:dyDescent="0.3">
      <c r="A354" s="24"/>
      <c r="B354" s="41" t="s">
        <v>81</v>
      </c>
      <c r="C354" s="26">
        <f>1*277.8*1000</f>
        <v>277800</v>
      </c>
      <c r="D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c r="AC354" s="24"/>
      <c r="AD354" s="24"/>
      <c r="AE354" s="24"/>
      <c r="AF354" s="24"/>
      <c r="AG354" s="24"/>
      <c r="AH354" s="24"/>
      <c r="AI354" s="24"/>
      <c r="AJ354" s="24"/>
      <c r="AK354" s="24"/>
      <c r="AL354" s="24"/>
      <c r="AM354" s="24"/>
      <c r="AN354" s="24"/>
      <c r="AO354" s="24"/>
      <c r="AP354" s="24"/>
      <c r="AQ354" s="24"/>
      <c r="AR354" s="24"/>
    </row>
    <row r="355" spans="1:44" x14ac:dyDescent="0.3">
      <c r="A355" s="24"/>
      <c r="B355" s="41" t="s">
        <v>82</v>
      </c>
      <c r="C355" s="26">
        <f>(1/1.055)*1000</f>
        <v>947.8672985781991</v>
      </c>
      <c r="D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c r="AC355" s="24"/>
      <c r="AD355" s="24"/>
      <c r="AE355" s="24"/>
      <c r="AF355" s="24"/>
      <c r="AG355" s="24"/>
      <c r="AH355" s="24"/>
      <c r="AI355" s="24"/>
      <c r="AJ355" s="24"/>
      <c r="AK355" s="24"/>
      <c r="AL355" s="24"/>
      <c r="AM355" s="24"/>
      <c r="AN355" s="24"/>
      <c r="AO355" s="24"/>
      <c r="AP355" s="24"/>
      <c r="AQ355" s="24"/>
      <c r="AR355" s="24"/>
    </row>
    <row r="356" spans="1:44" x14ac:dyDescent="0.3">
      <c r="A356" s="24"/>
      <c r="B356" s="41" t="s">
        <v>52</v>
      </c>
      <c r="C356" s="26">
        <f>(1*10/1.055)*1000</f>
        <v>9478.6729857819901</v>
      </c>
      <c r="D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row>
    <row r="357" spans="1:44" x14ac:dyDescent="0.3">
      <c r="A357" s="24"/>
      <c r="B357" s="41" t="s">
        <v>84</v>
      </c>
      <c r="C357" s="26">
        <f>1/42/3.785</f>
        <v>6.2904950619613754E-3</v>
      </c>
      <c r="D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row>
    <row r="358" spans="1:44" x14ac:dyDescent="0.3">
      <c r="A358" s="24"/>
      <c r="B358" s="41" t="s">
        <v>64</v>
      </c>
      <c r="C358" s="26">
        <f>1/3.785</f>
        <v>0.26420079260237778</v>
      </c>
      <c r="D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row>
    <row r="359" spans="1:44" x14ac:dyDescent="0.3">
      <c r="A359" s="24"/>
      <c r="B359" s="41" t="s">
        <v>83</v>
      </c>
      <c r="C359" s="26">
        <v>1</v>
      </c>
      <c r="D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row>
    <row r="360" spans="1:44" x14ac:dyDescent="0.3">
      <c r="A360" s="24"/>
      <c r="B360" s="41" t="s">
        <v>66</v>
      </c>
      <c r="C360" s="26">
        <f>1/0.02832</f>
        <v>35.310734463276837</v>
      </c>
      <c r="D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row>
    <row r="361" spans="1:44" ht="18" thickBot="1" x14ac:dyDescent="0.35">
      <c r="A361" s="24"/>
      <c r="B361" s="59" t="s">
        <v>67</v>
      </c>
      <c r="C361" s="28">
        <v>1</v>
      </c>
      <c r="D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c r="AC361" s="24"/>
      <c r="AD361" s="24"/>
      <c r="AE361" s="24"/>
      <c r="AF361" s="24"/>
      <c r="AG361" s="24"/>
      <c r="AH361" s="24"/>
      <c r="AI361" s="24"/>
      <c r="AJ361" s="24"/>
      <c r="AK361" s="24"/>
      <c r="AL361" s="24"/>
      <c r="AM361" s="24"/>
      <c r="AN361" s="24"/>
      <c r="AO361" s="24"/>
      <c r="AP361" s="24"/>
      <c r="AQ361" s="24"/>
      <c r="AR361" s="24"/>
    </row>
    <row r="362" spans="1:44" x14ac:dyDescent="0.3">
      <c r="A362" s="24"/>
      <c r="B362" s="24" t="s">
        <v>327</v>
      </c>
      <c r="C362" s="24"/>
      <c r="D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c r="AC362" s="24"/>
      <c r="AD362" s="24"/>
      <c r="AE362" s="24"/>
      <c r="AF362" s="24"/>
      <c r="AG362" s="24"/>
      <c r="AH362" s="24"/>
      <c r="AI362" s="24"/>
      <c r="AJ362" s="24"/>
      <c r="AK362" s="24"/>
      <c r="AL362" s="24"/>
      <c r="AM362" s="24"/>
      <c r="AN362" s="24"/>
      <c r="AO362" s="24"/>
      <c r="AP362" s="24"/>
      <c r="AQ362" s="24"/>
      <c r="AR362" s="24"/>
    </row>
    <row r="363" spans="1:44" x14ac:dyDescent="0.3">
      <c r="A363" s="24"/>
      <c r="B363" s="24"/>
      <c r="C363" s="24"/>
      <c r="D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c r="AC363" s="24"/>
      <c r="AD363" s="24"/>
      <c r="AE363" s="24"/>
      <c r="AF363" s="24"/>
      <c r="AG363" s="24"/>
      <c r="AH363" s="24"/>
      <c r="AI363" s="24"/>
      <c r="AJ363" s="24"/>
      <c r="AK363" s="24"/>
      <c r="AL363" s="24"/>
      <c r="AM363" s="24"/>
      <c r="AN363" s="24"/>
      <c r="AO363" s="24"/>
      <c r="AP363" s="24"/>
      <c r="AQ363" s="24"/>
      <c r="AR363" s="24"/>
    </row>
    <row r="364" spans="1:44" s="91" customFormat="1" ht="18" thickBot="1" x14ac:dyDescent="0.35">
      <c r="B364" s="24" t="s">
        <v>337</v>
      </c>
      <c r="C364" s="24"/>
      <c r="D364" s="24"/>
      <c r="E364" s="90"/>
      <c r="F364" s="24"/>
      <c r="G364" s="24"/>
      <c r="H364" s="24"/>
      <c r="I364" s="24"/>
      <c r="J364" s="24"/>
      <c r="K364" s="24"/>
      <c r="L364" s="24"/>
      <c r="M364" s="24"/>
      <c r="N364" s="24"/>
      <c r="O364" s="24"/>
      <c r="P364" s="24"/>
      <c r="Q364" s="24"/>
      <c r="R364" s="24"/>
      <c r="S364" s="24"/>
      <c r="T364" s="24"/>
      <c r="U364" s="24"/>
      <c r="V364" s="24"/>
      <c r="W364" s="24"/>
      <c r="X364" s="24"/>
      <c r="Y364" s="24"/>
      <c r="Z364" s="24"/>
      <c r="AA364" s="24"/>
      <c r="AB364" s="24"/>
      <c r="AC364" s="24"/>
      <c r="AD364" s="24"/>
      <c r="AE364" s="24"/>
      <c r="AF364" s="24"/>
      <c r="AG364" s="24"/>
      <c r="AH364" s="24"/>
      <c r="AI364" s="24"/>
      <c r="AJ364" s="24"/>
      <c r="AK364" s="24"/>
      <c r="AL364" s="24"/>
      <c r="AM364" s="24"/>
      <c r="AN364" s="24"/>
      <c r="AO364" s="24"/>
      <c r="AP364" s="24"/>
      <c r="AQ364" s="24"/>
      <c r="AR364" s="24"/>
    </row>
    <row r="365" spans="1:44" s="91" customFormat="1" x14ac:dyDescent="0.3">
      <c r="A365" s="24"/>
      <c r="B365" s="84" t="s">
        <v>48</v>
      </c>
      <c r="C365" s="65" t="s">
        <v>333</v>
      </c>
      <c r="D365" s="24"/>
      <c r="E365" s="90"/>
      <c r="F365" s="24"/>
      <c r="G365" s="24"/>
      <c r="H365" s="24"/>
      <c r="I365" s="24"/>
      <c r="J365" s="24"/>
      <c r="K365" s="24"/>
      <c r="L365" s="24"/>
      <c r="M365" s="24"/>
      <c r="N365" s="24"/>
      <c r="O365" s="24"/>
      <c r="P365" s="24"/>
      <c r="Q365" s="24"/>
      <c r="R365" s="24"/>
      <c r="S365" s="24"/>
      <c r="T365" s="24"/>
      <c r="U365" s="24"/>
      <c r="V365" s="24"/>
      <c r="W365" s="24"/>
      <c r="X365" s="24"/>
      <c r="Y365" s="24"/>
      <c r="Z365" s="24"/>
      <c r="AA365" s="24"/>
      <c r="AB365" s="24"/>
      <c r="AC365" s="24"/>
      <c r="AD365" s="24"/>
      <c r="AE365" s="24"/>
      <c r="AF365" s="24"/>
      <c r="AG365" s="24"/>
      <c r="AH365" s="24"/>
      <c r="AI365" s="24"/>
      <c r="AJ365" s="24"/>
      <c r="AK365" s="24"/>
      <c r="AL365" s="24"/>
      <c r="AM365" s="24"/>
      <c r="AN365" s="24"/>
      <c r="AO365" s="24"/>
      <c r="AP365" s="24"/>
      <c r="AQ365" s="24"/>
      <c r="AR365" s="24"/>
    </row>
    <row r="366" spans="1:44" s="91" customFormat="1" x14ac:dyDescent="0.3">
      <c r="A366" s="24"/>
      <c r="B366" s="41" t="s">
        <v>49</v>
      </c>
      <c r="C366" s="26" t="s">
        <v>333</v>
      </c>
      <c r="D366" s="24"/>
      <c r="E366" s="90"/>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row>
    <row r="367" spans="1:44" s="91" customFormat="1" x14ac:dyDescent="0.3">
      <c r="A367" s="24"/>
      <c r="B367" s="41" t="s">
        <v>50</v>
      </c>
      <c r="C367" s="26" t="s">
        <v>333</v>
      </c>
      <c r="D367" s="24"/>
      <c r="E367" s="90"/>
      <c r="F367" s="24"/>
      <c r="G367" s="24"/>
      <c r="H367" s="24"/>
      <c r="I367" s="24"/>
      <c r="J367" s="24"/>
      <c r="K367" s="24"/>
      <c r="L367" s="24"/>
      <c r="M367" s="24"/>
      <c r="N367" s="24"/>
      <c r="O367" s="24"/>
      <c r="P367" s="24"/>
      <c r="Q367" s="24"/>
      <c r="R367" s="24"/>
      <c r="S367" s="24"/>
      <c r="T367" s="24"/>
      <c r="U367" s="24"/>
      <c r="V367" s="24"/>
      <c r="W367" s="24"/>
      <c r="X367" s="24"/>
      <c r="Y367" s="24"/>
      <c r="Z367" s="24"/>
      <c r="AA367" s="24"/>
      <c r="AB367" s="24"/>
      <c r="AC367" s="24"/>
      <c r="AD367" s="24"/>
      <c r="AE367" s="24"/>
      <c r="AF367" s="24"/>
      <c r="AG367" s="24"/>
      <c r="AH367" s="24"/>
      <c r="AI367" s="24"/>
      <c r="AJ367" s="24"/>
      <c r="AK367" s="24"/>
      <c r="AL367" s="24"/>
      <c r="AM367" s="24"/>
      <c r="AN367" s="24"/>
      <c r="AO367" s="24"/>
      <c r="AP367" s="24"/>
      <c r="AQ367" s="24"/>
      <c r="AR367" s="24"/>
    </row>
    <row r="368" spans="1:44" s="91" customFormat="1" x14ac:dyDescent="0.3">
      <c r="A368" s="24"/>
      <c r="B368" s="41" t="s">
        <v>81</v>
      </c>
      <c r="C368" s="26" t="s">
        <v>333</v>
      </c>
      <c r="D368" s="24"/>
      <c r="E368" s="90"/>
      <c r="F368" s="24"/>
      <c r="G368" s="24"/>
      <c r="H368" s="24"/>
      <c r="I368" s="24"/>
      <c r="J368" s="24"/>
      <c r="K368" s="24"/>
      <c r="L368" s="24"/>
      <c r="M368" s="24"/>
      <c r="N368" s="24"/>
      <c r="O368" s="24"/>
      <c r="P368" s="24"/>
      <c r="Q368" s="24"/>
      <c r="R368" s="24"/>
      <c r="S368" s="24"/>
      <c r="T368" s="24"/>
      <c r="U368" s="24"/>
      <c r="V368" s="24"/>
      <c r="W368" s="24"/>
      <c r="X368" s="24"/>
      <c r="Y368" s="24"/>
      <c r="Z368" s="24"/>
      <c r="AA368" s="24"/>
      <c r="AB368" s="24"/>
      <c r="AC368" s="24"/>
      <c r="AD368" s="24"/>
      <c r="AE368" s="24"/>
      <c r="AF368" s="24"/>
      <c r="AG368" s="24"/>
      <c r="AH368" s="24"/>
      <c r="AI368" s="24"/>
      <c r="AJ368" s="24"/>
      <c r="AK368" s="24"/>
      <c r="AL368" s="24"/>
      <c r="AM368" s="24"/>
      <c r="AN368" s="24"/>
      <c r="AO368" s="24"/>
      <c r="AP368" s="24"/>
      <c r="AQ368" s="24"/>
      <c r="AR368" s="24"/>
    </row>
    <row r="369" spans="1:44" s="91" customFormat="1" x14ac:dyDescent="0.3">
      <c r="A369" s="24"/>
      <c r="B369" s="41" t="s">
        <v>82</v>
      </c>
      <c r="C369" s="26" t="s">
        <v>333</v>
      </c>
      <c r="D369" s="24"/>
      <c r="E369" s="90"/>
      <c r="F369" s="24"/>
      <c r="G369" s="24"/>
      <c r="H369" s="24"/>
      <c r="I369" s="24"/>
      <c r="J369" s="24"/>
      <c r="K369" s="24"/>
      <c r="L369" s="24"/>
      <c r="M369" s="24"/>
      <c r="N369" s="24"/>
      <c r="O369" s="24"/>
      <c r="P369" s="24"/>
      <c r="Q369" s="24"/>
      <c r="R369" s="24"/>
      <c r="S369" s="24"/>
      <c r="T369" s="24"/>
      <c r="U369" s="24"/>
      <c r="V369" s="24"/>
      <c r="W369" s="24"/>
      <c r="X369" s="24"/>
      <c r="Y369" s="24"/>
      <c r="Z369" s="24"/>
      <c r="AA369" s="24"/>
      <c r="AB369" s="24"/>
      <c r="AC369" s="24"/>
      <c r="AD369" s="24"/>
      <c r="AE369" s="24"/>
      <c r="AF369" s="24"/>
      <c r="AG369" s="24"/>
      <c r="AH369" s="24"/>
      <c r="AI369" s="24"/>
      <c r="AJ369" s="24"/>
      <c r="AK369" s="24"/>
      <c r="AL369" s="24"/>
      <c r="AM369" s="24"/>
      <c r="AN369" s="24"/>
      <c r="AO369" s="24"/>
      <c r="AP369" s="24"/>
      <c r="AQ369" s="24"/>
      <c r="AR369" s="24"/>
    </row>
    <row r="370" spans="1:44" s="91" customFormat="1" x14ac:dyDescent="0.3">
      <c r="A370" s="24"/>
      <c r="B370" s="41" t="s">
        <v>52</v>
      </c>
      <c r="C370" s="26" t="s">
        <v>333</v>
      </c>
      <c r="D370" s="24"/>
      <c r="E370" s="90"/>
      <c r="F370" s="24"/>
      <c r="G370" s="24"/>
      <c r="H370" s="24"/>
      <c r="I370" s="24"/>
      <c r="J370" s="24"/>
      <c r="K370" s="24"/>
      <c r="L370" s="24"/>
      <c r="M370" s="24"/>
      <c r="N370" s="24"/>
      <c r="O370" s="24"/>
      <c r="P370" s="24"/>
      <c r="Q370" s="24"/>
      <c r="R370" s="24"/>
      <c r="S370" s="24"/>
      <c r="T370" s="24"/>
      <c r="U370" s="24"/>
      <c r="V370" s="24"/>
      <c r="W370" s="24"/>
      <c r="X370" s="24"/>
      <c r="Y370" s="24"/>
      <c r="Z370" s="24"/>
      <c r="AA370" s="24"/>
      <c r="AB370" s="24"/>
      <c r="AC370" s="24"/>
      <c r="AD370" s="24"/>
      <c r="AE370" s="24"/>
      <c r="AF370" s="24"/>
      <c r="AG370" s="24"/>
      <c r="AH370" s="24"/>
      <c r="AI370" s="24"/>
      <c r="AJ370" s="24"/>
      <c r="AK370" s="24"/>
      <c r="AL370" s="24"/>
      <c r="AM370" s="24"/>
      <c r="AN370" s="24"/>
      <c r="AO370" s="24"/>
      <c r="AP370" s="24"/>
      <c r="AQ370" s="24"/>
      <c r="AR370" s="24"/>
    </row>
    <row r="371" spans="1:44" s="91" customFormat="1" x14ac:dyDescent="0.3">
      <c r="A371" s="24"/>
      <c r="B371" s="41" t="s">
        <v>85</v>
      </c>
      <c r="C371" s="26" t="s">
        <v>334</v>
      </c>
      <c r="D371" s="24"/>
      <c r="E371" s="90"/>
      <c r="F371" s="24"/>
      <c r="G371" s="24"/>
      <c r="H371" s="24"/>
      <c r="I371" s="24"/>
      <c r="J371" s="24"/>
      <c r="K371" s="24"/>
      <c r="L371" s="24"/>
      <c r="M371" s="24"/>
      <c r="N371" s="24"/>
      <c r="O371" s="24"/>
      <c r="P371" s="24"/>
      <c r="Q371" s="24"/>
      <c r="R371" s="24"/>
      <c r="S371" s="24"/>
      <c r="T371" s="24"/>
      <c r="U371" s="24"/>
      <c r="V371" s="24"/>
      <c r="W371" s="24"/>
      <c r="X371" s="24"/>
      <c r="Y371" s="24"/>
      <c r="Z371" s="24"/>
      <c r="AA371" s="24"/>
      <c r="AB371" s="24"/>
      <c r="AC371" s="24"/>
      <c r="AD371" s="24"/>
      <c r="AE371" s="24"/>
      <c r="AF371" s="24"/>
      <c r="AG371" s="24"/>
      <c r="AH371" s="24"/>
      <c r="AI371" s="24"/>
      <c r="AJ371" s="24"/>
      <c r="AK371" s="24"/>
      <c r="AL371" s="24"/>
      <c r="AM371" s="24"/>
      <c r="AN371" s="24"/>
      <c r="AO371" s="24"/>
      <c r="AP371" s="24"/>
      <c r="AQ371" s="24"/>
      <c r="AR371" s="24"/>
    </row>
    <row r="372" spans="1:44" s="91" customFormat="1" x14ac:dyDescent="0.3">
      <c r="A372" s="24"/>
      <c r="B372" s="41" t="s">
        <v>86</v>
      </c>
      <c r="C372" s="26" t="s">
        <v>334</v>
      </c>
      <c r="D372" s="24"/>
      <c r="E372" s="90"/>
      <c r="F372" s="24"/>
      <c r="G372" s="24"/>
      <c r="H372" s="24"/>
      <c r="I372" s="24"/>
      <c r="J372" s="24"/>
      <c r="K372" s="24"/>
      <c r="L372" s="24"/>
      <c r="M372" s="24"/>
      <c r="N372" s="24"/>
      <c r="O372" s="24"/>
      <c r="P372" s="24"/>
      <c r="Q372" s="24"/>
      <c r="R372" s="24"/>
      <c r="S372" s="24"/>
      <c r="T372" s="24"/>
      <c r="U372" s="24"/>
      <c r="V372" s="24"/>
      <c r="W372" s="24"/>
      <c r="X372" s="24"/>
      <c r="Y372" s="24"/>
      <c r="Z372" s="24"/>
      <c r="AA372" s="24"/>
      <c r="AB372" s="24"/>
      <c r="AC372" s="24"/>
      <c r="AD372" s="24"/>
      <c r="AE372" s="24"/>
      <c r="AF372" s="24"/>
      <c r="AG372" s="24"/>
      <c r="AH372" s="24"/>
      <c r="AI372" s="24"/>
      <c r="AJ372" s="24"/>
      <c r="AK372" s="24"/>
      <c r="AL372" s="24"/>
      <c r="AM372" s="24"/>
      <c r="AN372" s="24"/>
      <c r="AO372" s="24"/>
      <c r="AP372" s="24"/>
      <c r="AQ372" s="24"/>
      <c r="AR372" s="24"/>
    </row>
    <row r="373" spans="1:44" s="91" customFormat="1" x14ac:dyDescent="0.3">
      <c r="A373" s="24"/>
      <c r="B373" s="41" t="s">
        <v>60</v>
      </c>
      <c r="C373" s="26" t="s">
        <v>334</v>
      </c>
      <c r="D373" s="24"/>
      <c r="E373" s="90"/>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row>
    <row r="374" spans="1:44" s="91" customFormat="1" x14ac:dyDescent="0.3">
      <c r="A374" s="24"/>
      <c r="B374" s="41" t="s">
        <v>84</v>
      </c>
      <c r="C374" s="26" t="s">
        <v>335</v>
      </c>
      <c r="D374" s="24"/>
      <c r="E374" s="90"/>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row>
    <row r="375" spans="1:44" s="91" customFormat="1" x14ac:dyDescent="0.3">
      <c r="A375" s="24"/>
      <c r="B375" s="41" t="s">
        <v>64</v>
      </c>
      <c r="C375" s="26" t="s">
        <v>335</v>
      </c>
      <c r="D375" s="24"/>
      <c r="E375" s="90"/>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row>
    <row r="376" spans="1:44" s="91" customFormat="1" x14ac:dyDescent="0.3">
      <c r="A376" s="24"/>
      <c r="B376" s="41" t="s">
        <v>83</v>
      </c>
      <c r="C376" s="26" t="s">
        <v>335</v>
      </c>
      <c r="D376" s="24"/>
      <c r="E376" s="90"/>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row>
    <row r="377" spans="1:44" s="91" customFormat="1" x14ac:dyDescent="0.3">
      <c r="A377" s="24"/>
      <c r="B377" s="41" t="s">
        <v>66</v>
      </c>
      <c r="C377" s="26" t="s">
        <v>336</v>
      </c>
      <c r="D377" s="24"/>
      <c r="E377" s="90"/>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row>
    <row r="378" spans="1:44" s="91" customFormat="1" ht="18" thickBot="1" x14ac:dyDescent="0.35">
      <c r="A378" s="24"/>
      <c r="B378" s="59" t="s">
        <v>67</v>
      </c>
      <c r="C378" s="28" t="s">
        <v>336</v>
      </c>
      <c r="D378" s="24"/>
      <c r="E378" s="90"/>
      <c r="F378" s="24"/>
      <c r="G378" s="24"/>
      <c r="H378" s="24"/>
      <c r="I378" s="24"/>
      <c r="J378" s="24"/>
      <c r="K378" s="24"/>
      <c r="L378" s="24"/>
      <c r="M378" s="24"/>
      <c r="N378" s="24"/>
      <c r="O378" s="24"/>
      <c r="P378" s="24"/>
      <c r="Q378" s="24"/>
      <c r="R378" s="24"/>
      <c r="S378" s="24"/>
      <c r="T378" s="24"/>
      <c r="U378" s="24"/>
      <c r="V378" s="24"/>
      <c r="W378" s="24"/>
      <c r="X378" s="24"/>
      <c r="Y378" s="24"/>
      <c r="Z378" s="24"/>
      <c r="AA378" s="24"/>
      <c r="AB378" s="24"/>
      <c r="AC378" s="24"/>
      <c r="AD378" s="24"/>
      <c r="AE378" s="24"/>
      <c r="AF378" s="24"/>
      <c r="AG378" s="24"/>
      <c r="AH378" s="24"/>
      <c r="AI378" s="24"/>
      <c r="AJ378" s="24"/>
      <c r="AK378" s="24"/>
      <c r="AL378" s="24"/>
      <c r="AM378" s="24"/>
      <c r="AN378" s="24"/>
      <c r="AO378" s="24"/>
      <c r="AP378" s="24"/>
      <c r="AQ378" s="24"/>
      <c r="AR378" s="24"/>
    </row>
    <row r="379" spans="1:44" s="91" customFormat="1" x14ac:dyDescent="0.3">
      <c r="A379" s="24"/>
      <c r="B379" s="24" t="s">
        <v>338</v>
      </c>
      <c r="C379" s="24"/>
      <c r="D379" s="24"/>
      <c r="E379" s="90"/>
      <c r="F379" s="24"/>
      <c r="G379" s="24"/>
      <c r="H379" s="24"/>
      <c r="I379" s="24"/>
      <c r="J379" s="24"/>
      <c r="K379" s="24"/>
      <c r="L379" s="24"/>
      <c r="M379" s="24"/>
      <c r="N379" s="24"/>
      <c r="O379" s="24"/>
      <c r="P379" s="24"/>
      <c r="Q379" s="24"/>
      <c r="R379" s="24"/>
      <c r="S379" s="24"/>
      <c r="T379" s="24"/>
      <c r="U379" s="24"/>
      <c r="V379" s="24"/>
      <c r="W379" s="24"/>
      <c r="X379" s="24"/>
      <c r="Y379" s="24"/>
      <c r="Z379" s="24"/>
      <c r="AA379" s="24"/>
      <c r="AB379" s="24"/>
      <c r="AC379" s="24"/>
      <c r="AD379" s="24"/>
      <c r="AE379" s="24"/>
      <c r="AF379" s="24"/>
      <c r="AG379" s="24"/>
      <c r="AH379" s="24"/>
      <c r="AI379" s="24"/>
      <c r="AJ379" s="24"/>
      <c r="AK379" s="24"/>
      <c r="AL379" s="24"/>
      <c r="AM379" s="24"/>
      <c r="AN379" s="24"/>
      <c r="AO379" s="24"/>
      <c r="AP379" s="24"/>
      <c r="AQ379" s="24"/>
      <c r="AR379" s="24"/>
    </row>
    <row r="380" spans="1:44" ht="18" thickBot="1" x14ac:dyDescent="0.35">
      <c r="A380" s="24"/>
      <c r="B380" s="24"/>
      <c r="C380" s="24"/>
      <c r="D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c r="AC380" s="24"/>
      <c r="AD380" s="24"/>
      <c r="AE380" s="24"/>
      <c r="AF380" s="24"/>
      <c r="AG380" s="24"/>
      <c r="AH380" s="24"/>
      <c r="AI380" s="24"/>
      <c r="AJ380" s="24"/>
      <c r="AK380" s="24"/>
      <c r="AL380" s="24"/>
      <c r="AM380" s="24"/>
      <c r="AN380" s="24"/>
      <c r="AO380" s="24"/>
      <c r="AP380" s="24"/>
      <c r="AQ380" s="24"/>
      <c r="AR380" s="24"/>
    </row>
    <row r="381" spans="1:44" ht="16.2" thickBot="1" x14ac:dyDescent="0.35">
      <c r="A381" s="24"/>
      <c r="B381" s="85" t="s">
        <v>344</v>
      </c>
      <c r="C381" s="86" t="s">
        <v>345</v>
      </c>
      <c r="D381" s="87" t="s">
        <v>614</v>
      </c>
      <c r="E381" s="87" t="s">
        <v>615</v>
      </c>
      <c r="F381" s="24"/>
      <c r="G381" s="24"/>
      <c r="H381" s="24"/>
      <c r="I381" s="24"/>
      <c r="J381" s="24"/>
      <c r="K381" s="24"/>
      <c r="L381" s="24"/>
      <c r="M381" s="24"/>
      <c r="N381" s="24"/>
      <c r="O381" s="24"/>
      <c r="P381" s="24"/>
      <c r="Q381" s="24"/>
      <c r="R381" s="24"/>
      <c r="S381" s="24"/>
      <c r="T381" s="24"/>
      <c r="U381" s="24"/>
      <c r="V381" s="24"/>
      <c r="W381" s="24"/>
      <c r="X381" s="24"/>
      <c r="Y381" s="24"/>
      <c r="Z381" s="24"/>
      <c r="AA381" s="24"/>
      <c r="AB381" s="24"/>
      <c r="AC381" s="24"/>
      <c r="AD381" s="24"/>
      <c r="AE381" s="24"/>
      <c r="AF381" s="24"/>
      <c r="AG381" s="24"/>
      <c r="AH381" s="24"/>
      <c r="AI381" s="24"/>
      <c r="AJ381" s="24"/>
      <c r="AK381" s="24"/>
      <c r="AL381" s="24"/>
      <c r="AM381" s="24"/>
      <c r="AN381" s="24"/>
      <c r="AO381" s="24"/>
      <c r="AP381" s="24"/>
      <c r="AQ381" s="24"/>
      <c r="AR381" s="24"/>
    </row>
    <row r="382" spans="1:44" ht="15" x14ac:dyDescent="0.25">
      <c r="A382" s="24"/>
      <c r="B382" s="46" t="s">
        <v>60</v>
      </c>
      <c r="C382" s="84" t="s">
        <v>85</v>
      </c>
      <c r="D382" s="84">
        <v>1000</v>
      </c>
      <c r="E382" s="65">
        <f>1/D382</f>
        <v>1E-3</v>
      </c>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row>
    <row r="383" spans="1:44" ht="15" x14ac:dyDescent="0.25">
      <c r="A383" s="24"/>
      <c r="B383" s="25" t="s">
        <v>85</v>
      </c>
      <c r="C383" s="41" t="s">
        <v>85</v>
      </c>
      <c r="D383" s="41">
        <v>1</v>
      </c>
      <c r="E383" s="26">
        <f t="shared" ref="E383:E395" si="0">1/D383</f>
        <v>1</v>
      </c>
      <c r="F383" s="24"/>
      <c r="G383" s="24"/>
      <c r="H383" s="24"/>
      <c r="I383" s="24"/>
      <c r="J383" s="24"/>
      <c r="K383" s="24"/>
      <c r="L383" s="24"/>
      <c r="M383" s="24"/>
      <c r="N383" s="24"/>
      <c r="O383" s="24"/>
      <c r="P383" s="24"/>
      <c r="Q383" s="24"/>
      <c r="R383" s="24"/>
      <c r="S383" s="24"/>
      <c r="T383" s="24"/>
      <c r="U383" s="24"/>
      <c r="V383" s="24"/>
      <c r="W383" s="24"/>
      <c r="X383" s="24"/>
      <c r="Y383" s="24"/>
      <c r="Z383" s="24"/>
      <c r="AA383" s="24"/>
      <c r="AB383" s="24"/>
      <c r="AC383" s="24"/>
      <c r="AD383" s="24"/>
      <c r="AE383" s="24"/>
      <c r="AF383" s="24"/>
      <c r="AG383" s="24"/>
      <c r="AH383" s="24"/>
      <c r="AI383" s="24"/>
      <c r="AJ383" s="24"/>
      <c r="AK383" s="24"/>
      <c r="AL383" s="24"/>
      <c r="AM383" s="24"/>
      <c r="AN383" s="24"/>
      <c r="AO383" s="24"/>
      <c r="AP383" s="24"/>
      <c r="AQ383" s="24"/>
      <c r="AR383" s="24"/>
    </row>
    <row r="384" spans="1:44" ht="15" x14ac:dyDescent="0.25">
      <c r="A384" s="24"/>
      <c r="B384" s="25" t="s">
        <v>86</v>
      </c>
      <c r="C384" s="41" t="s">
        <v>85</v>
      </c>
      <c r="D384" s="41">
        <v>2205</v>
      </c>
      <c r="E384" s="26">
        <f t="shared" si="0"/>
        <v>4.5351473922902497E-4</v>
      </c>
      <c r="F384" s="24"/>
      <c r="G384" s="24"/>
      <c r="H384" s="24"/>
      <c r="I384" s="24"/>
      <c r="J384" s="24"/>
      <c r="K384" s="24"/>
      <c r="L384" s="24"/>
      <c r="M384" s="24"/>
      <c r="N384" s="24"/>
      <c r="O384" s="24"/>
      <c r="P384" s="24"/>
      <c r="Q384" s="24"/>
      <c r="R384" s="24"/>
      <c r="S384" s="24"/>
      <c r="T384" s="24"/>
      <c r="U384" s="24"/>
      <c r="V384" s="24"/>
      <c r="W384" s="24"/>
      <c r="X384" s="24"/>
      <c r="Y384" s="24"/>
      <c r="Z384" s="24"/>
      <c r="AA384" s="24"/>
      <c r="AB384" s="24"/>
      <c r="AC384" s="24"/>
      <c r="AD384" s="24"/>
      <c r="AE384" s="24"/>
      <c r="AF384" s="24"/>
      <c r="AG384" s="24"/>
      <c r="AH384" s="24"/>
      <c r="AI384" s="24"/>
      <c r="AJ384" s="24"/>
      <c r="AK384" s="24"/>
      <c r="AL384" s="24"/>
      <c r="AM384" s="24"/>
      <c r="AN384" s="24"/>
      <c r="AO384" s="24"/>
      <c r="AP384" s="24"/>
      <c r="AQ384" s="24"/>
      <c r="AR384" s="24"/>
    </row>
    <row r="385" spans="1:44" ht="15" x14ac:dyDescent="0.25">
      <c r="A385" s="24"/>
      <c r="B385" s="25" t="s">
        <v>48</v>
      </c>
      <c r="C385" s="41" t="s">
        <v>48</v>
      </c>
      <c r="D385" s="41">
        <v>1</v>
      </c>
      <c r="E385" s="26">
        <f t="shared" si="0"/>
        <v>1</v>
      </c>
      <c r="F385" s="24"/>
      <c r="G385" s="24"/>
      <c r="H385" s="24"/>
      <c r="I385" s="24"/>
      <c r="J385" s="24"/>
      <c r="K385" s="24"/>
      <c r="L385" s="24"/>
      <c r="M385" s="24"/>
      <c r="N385" s="24"/>
      <c r="O385" s="24"/>
      <c r="P385" s="24"/>
      <c r="Q385" s="24"/>
      <c r="R385" s="24"/>
      <c r="S385" s="24"/>
      <c r="T385" s="24"/>
      <c r="U385" s="24"/>
      <c r="V385" s="24"/>
      <c r="W385" s="24"/>
      <c r="X385" s="24"/>
      <c r="Y385" s="24"/>
      <c r="Z385" s="24"/>
      <c r="AA385" s="24"/>
      <c r="AB385" s="24"/>
      <c r="AC385" s="24"/>
      <c r="AD385" s="24"/>
      <c r="AE385" s="24"/>
      <c r="AF385" s="24"/>
      <c r="AG385" s="24"/>
      <c r="AH385" s="24"/>
      <c r="AI385" s="24"/>
      <c r="AJ385" s="24"/>
      <c r="AK385" s="24"/>
      <c r="AL385" s="24"/>
      <c r="AM385" s="24"/>
      <c r="AN385" s="24"/>
      <c r="AO385" s="24"/>
      <c r="AP385" s="24"/>
      <c r="AQ385" s="24"/>
      <c r="AR385" s="24"/>
    </row>
    <row r="386" spans="1:44" ht="15" x14ac:dyDescent="0.25">
      <c r="A386" s="24"/>
      <c r="B386" s="25" t="s">
        <v>49</v>
      </c>
      <c r="C386" s="41" t="s">
        <v>48</v>
      </c>
      <c r="D386" s="41">
        <v>1000</v>
      </c>
      <c r="E386" s="26">
        <f t="shared" si="0"/>
        <v>1E-3</v>
      </c>
      <c r="F386" s="24"/>
      <c r="G386" s="24"/>
      <c r="H386" s="24"/>
      <c r="I386" s="24"/>
      <c r="J386" s="24"/>
      <c r="K386" s="24"/>
      <c r="L386" s="24"/>
      <c r="M386" s="24"/>
      <c r="N386" s="24"/>
      <c r="O386" s="24"/>
      <c r="P386" s="24"/>
      <c r="Q386" s="24"/>
      <c r="R386" s="24"/>
      <c r="S386" s="24"/>
      <c r="T386" s="24"/>
      <c r="U386" s="24"/>
      <c r="V386" s="24"/>
      <c r="W386" s="24"/>
      <c r="X386" s="24"/>
      <c r="Y386" s="24"/>
      <c r="Z386" s="24"/>
      <c r="AA386" s="24"/>
      <c r="AB386" s="24"/>
      <c r="AC386" s="24"/>
      <c r="AD386" s="24"/>
      <c r="AE386" s="24"/>
      <c r="AF386" s="24"/>
      <c r="AG386" s="24"/>
      <c r="AH386" s="24"/>
      <c r="AI386" s="24"/>
      <c r="AJ386" s="24"/>
      <c r="AK386" s="24"/>
      <c r="AL386" s="24"/>
      <c r="AM386" s="24"/>
      <c r="AN386" s="24"/>
      <c r="AO386" s="24"/>
      <c r="AP386" s="24"/>
      <c r="AQ386" s="24"/>
      <c r="AR386" s="24"/>
    </row>
    <row r="387" spans="1:44" ht="15" x14ac:dyDescent="0.25">
      <c r="A387" s="24"/>
      <c r="B387" s="25" t="s">
        <v>50</v>
      </c>
      <c r="C387" s="41" t="s">
        <v>48</v>
      </c>
      <c r="D387" s="41">
        <v>1000000</v>
      </c>
      <c r="E387" s="26">
        <f t="shared" si="0"/>
        <v>9.9999999999999995E-7</v>
      </c>
      <c r="F387" s="24"/>
      <c r="G387" s="24"/>
      <c r="H387" s="24"/>
      <c r="I387" s="24"/>
      <c r="J387" s="24"/>
      <c r="K387" s="24"/>
      <c r="L387" s="24"/>
      <c r="M387" s="24"/>
      <c r="N387" s="24"/>
      <c r="O387" s="24"/>
      <c r="P387" s="24"/>
      <c r="Q387" s="24"/>
      <c r="R387" s="24"/>
      <c r="S387" s="24"/>
      <c r="T387" s="24"/>
      <c r="U387" s="24"/>
      <c r="V387" s="24"/>
      <c r="W387" s="24"/>
      <c r="X387" s="24"/>
      <c r="Y387" s="24"/>
      <c r="Z387" s="24"/>
      <c r="AA387" s="24"/>
      <c r="AB387" s="24"/>
      <c r="AC387" s="24"/>
      <c r="AD387" s="24"/>
      <c r="AE387" s="24"/>
      <c r="AF387" s="24"/>
      <c r="AG387" s="24"/>
      <c r="AH387" s="24"/>
      <c r="AI387" s="24"/>
      <c r="AJ387" s="24"/>
      <c r="AK387" s="24"/>
      <c r="AL387" s="24"/>
      <c r="AM387" s="24"/>
      <c r="AN387" s="24"/>
      <c r="AO387" s="24"/>
      <c r="AP387" s="24"/>
      <c r="AQ387" s="24"/>
      <c r="AR387" s="24"/>
    </row>
    <row r="388" spans="1:44" ht="15" x14ac:dyDescent="0.25">
      <c r="A388" s="24"/>
      <c r="B388" s="25" t="s">
        <v>81</v>
      </c>
      <c r="C388" s="41" t="s">
        <v>48</v>
      </c>
      <c r="D388" s="41">
        <v>277800</v>
      </c>
      <c r="E388" s="26">
        <f t="shared" si="0"/>
        <v>3.5997120230381568E-6</v>
      </c>
      <c r="F388" s="24"/>
      <c r="G388" s="24"/>
      <c r="H388" s="24"/>
      <c r="I388" s="24"/>
      <c r="J388" s="24"/>
      <c r="K388" s="24"/>
      <c r="L388" s="24"/>
      <c r="M388" s="24"/>
      <c r="N388" s="24"/>
      <c r="O388" s="24"/>
      <c r="P388" s="24"/>
      <c r="Q388" s="24"/>
      <c r="R388" s="24"/>
      <c r="S388" s="24"/>
      <c r="T388" s="24"/>
      <c r="U388" s="24"/>
      <c r="V388" s="24"/>
      <c r="W388" s="24"/>
      <c r="X388" s="24"/>
      <c r="Y388" s="24"/>
      <c r="Z388" s="24"/>
      <c r="AA388" s="24"/>
      <c r="AB388" s="24"/>
      <c r="AC388" s="24"/>
      <c r="AD388" s="24"/>
      <c r="AE388" s="24"/>
      <c r="AF388" s="24"/>
      <c r="AG388" s="24"/>
      <c r="AH388" s="24"/>
      <c r="AI388" s="24"/>
      <c r="AJ388" s="24"/>
      <c r="AK388" s="24"/>
      <c r="AL388" s="24"/>
      <c r="AM388" s="24"/>
      <c r="AN388" s="24"/>
      <c r="AO388" s="24"/>
      <c r="AP388" s="24"/>
      <c r="AQ388" s="24"/>
      <c r="AR388" s="24"/>
    </row>
    <row r="389" spans="1:44" ht="15" x14ac:dyDescent="0.25">
      <c r="A389" s="24"/>
      <c r="B389" s="25" t="s">
        <v>82</v>
      </c>
      <c r="C389" s="41" t="s">
        <v>48</v>
      </c>
      <c r="D389" s="41">
        <v>947.8672985781991</v>
      </c>
      <c r="E389" s="26">
        <f t="shared" si="0"/>
        <v>1.0549999999999999E-3</v>
      </c>
      <c r="F389" s="24"/>
      <c r="G389" s="24"/>
      <c r="H389" s="24"/>
      <c r="I389" s="24"/>
      <c r="J389" s="24"/>
      <c r="K389" s="24"/>
      <c r="L389" s="24"/>
      <c r="M389" s="24"/>
      <c r="N389" s="24"/>
      <c r="O389" s="24"/>
      <c r="P389" s="24"/>
      <c r="Q389" s="24"/>
      <c r="R389" s="24"/>
      <c r="S389" s="24"/>
      <c r="T389" s="24"/>
      <c r="U389" s="24"/>
      <c r="V389" s="24"/>
      <c r="W389" s="24"/>
      <c r="X389" s="24"/>
      <c r="Y389" s="24"/>
      <c r="Z389" s="24"/>
      <c r="AA389" s="24"/>
      <c r="AB389" s="24"/>
      <c r="AC389" s="24"/>
      <c r="AD389" s="24"/>
      <c r="AE389" s="24"/>
      <c r="AF389" s="24"/>
      <c r="AG389" s="24"/>
      <c r="AH389" s="24"/>
      <c r="AI389" s="24"/>
      <c r="AJ389" s="24"/>
      <c r="AK389" s="24"/>
      <c r="AL389" s="24"/>
      <c r="AM389" s="24"/>
      <c r="AN389" s="24"/>
      <c r="AO389" s="24"/>
      <c r="AP389" s="24"/>
      <c r="AQ389" s="24"/>
      <c r="AR389" s="24"/>
    </row>
    <row r="390" spans="1:44" ht="15" x14ac:dyDescent="0.25">
      <c r="A390" s="24"/>
      <c r="B390" s="25" t="s">
        <v>52</v>
      </c>
      <c r="C390" s="41" t="s">
        <v>48</v>
      </c>
      <c r="D390" s="41">
        <v>9478.6729857819901</v>
      </c>
      <c r="E390" s="26">
        <f t="shared" si="0"/>
        <v>1.055E-4</v>
      </c>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row>
    <row r="391" spans="1:44" ht="15" x14ac:dyDescent="0.25">
      <c r="A391" s="24"/>
      <c r="B391" s="25" t="s">
        <v>84</v>
      </c>
      <c r="C391" s="41" t="s">
        <v>346</v>
      </c>
      <c r="D391" s="41">
        <v>6.2904950619613754E-3</v>
      </c>
      <c r="E391" s="26">
        <f t="shared" si="0"/>
        <v>158.97000000000003</v>
      </c>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row>
    <row r="392" spans="1:44" ht="15" x14ac:dyDescent="0.25">
      <c r="A392" s="24"/>
      <c r="B392" s="25" t="s">
        <v>64</v>
      </c>
      <c r="C392" s="41" t="s">
        <v>346</v>
      </c>
      <c r="D392" s="41">
        <v>0.26420079260237778</v>
      </c>
      <c r="E392" s="26">
        <f t="shared" si="0"/>
        <v>3.7850000000000006</v>
      </c>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row>
    <row r="393" spans="1:44" ht="15" x14ac:dyDescent="0.25">
      <c r="A393" s="24"/>
      <c r="B393" s="25" t="s">
        <v>83</v>
      </c>
      <c r="C393" s="41" t="s">
        <v>346</v>
      </c>
      <c r="D393" s="41">
        <v>1</v>
      </c>
      <c r="E393" s="26">
        <f t="shared" si="0"/>
        <v>1</v>
      </c>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row>
    <row r="394" spans="1:44" ht="15" x14ac:dyDescent="0.25">
      <c r="A394" s="24"/>
      <c r="B394" s="25" t="s">
        <v>66</v>
      </c>
      <c r="C394" s="41" t="s">
        <v>347</v>
      </c>
      <c r="D394" s="41">
        <v>35.310734463276837</v>
      </c>
      <c r="E394" s="26">
        <f t="shared" si="0"/>
        <v>2.8319999999999998E-2</v>
      </c>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row>
    <row r="395" spans="1:44" ht="15.6" thickBot="1" x14ac:dyDescent="0.3">
      <c r="A395" s="24"/>
      <c r="B395" s="27" t="s">
        <v>67</v>
      </c>
      <c r="C395" s="59" t="s">
        <v>348</v>
      </c>
      <c r="D395" s="59">
        <v>1</v>
      </c>
      <c r="E395" s="28">
        <f t="shared" si="0"/>
        <v>1</v>
      </c>
      <c r="F395" s="24"/>
      <c r="G395" s="24"/>
      <c r="H395" s="24"/>
      <c r="I395" s="24"/>
      <c r="J395" s="24"/>
      <c r="K395" s="24"/>
      <c r="L395" s="24"/>
      <c r="M395" s="24"/>
      <c r="N395" s="24"/>
      <c r="O395" s="24"/>
      <c r="P395" s="24"/>
      <c r="Q395" s="24"/>
      <c r="R395" s="24"/>
      <c r="S395" s="24"/>
      <c r="T395" s="24"/>
      <c r="U395" s="24"/>
      <c r="V395" s="24"/>
      <c r="W395" s="24"/>
      <c r="X395" s="24"/>
      <c r="Y395" s="24"/>
      <c r="Z395" s="24"/>
      <c r="AA395" s="24"/>
      <c r="AB395" s="24"/>
      <c r="AC395" s="24"/>
      <c r="AD395" s="24"/>
      <c r="AE395" s="24"/>
      <c r="AF395" s="24"/>
      <c r="AG395" s="24"/>
      <c r="AH395" s="24"/>
      <c r="AI395" s="24"/>
      <c r="AJ395" s="24"/>
      <c r="AK395" s="24"/>
      <c r="AL395" s="24"/>
      <c r="AM395" s="24"/>
      <c r="AN395" s="24"/>
      <c r="AO395" s="24"/>
      <c r="AP395" s="24"/>
      <c r="AQ395" s="24"/>
      <c r="AR395" s="24"/>
    </row>
    <row r="396" spans="1:44" x14ac:dyDescent="0.3">
      <c r="A396" s="24"/>
      <c r="B396" s="24" t="s">
        <v>349</v>
      </c>
      <c r="C396" s="24"/>
      <c r="D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c r="AC396" s="24"/>
      <c r="AD396" s="24"/>
      <c r="AE396" s="24"/>
      <c r="AF396" s="24"/>
      <c r="AG396" s="24"/>
      <c r="AH396" s="24"/>
      <c r="AI396" s="24"/>
      <c r="AJ396" s="24"/>
      <c r="AK396" s="24"/>
      <c r="AL396" s="24"/>
      <c r="AM396" s="24"/>
      <c r="AN396" s="24"/>
      <c r="AO396" s="24"/>
      <c r="AP396" s="24"/>
      <c r="AQ396" s="24"/>
      <c r="AR396" s="24"/>
    </row>
    <row r="397" spans="1:44" ht="18" thickBot="1" x14ac:dyDescent="0.35">
      <c r="A397" s="24"/>
      <c r="B397" s="24"/>
      <c r="C397" s="24"/>
      <c r="D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c r="AC397" s="24"/>
      <c r="AD397" s="24"/>
      <c r="AE397" s="24"/>
      <c r="AF397" s="24"/>
      <c r="AG397" s="24"/>
      <c r="AH397" s="24"/>
      <c r="AI397" s="24"/>
      <c r="AJ397" s="24"/>
      <c r="AK397" s="24"/>
      <c r="AL397" s="24"/>
      <c r="AM397" s="24"/>
      <c r="AN397" s="24"/>
      <c r="AO397" s="24"/>
      <c r="AP397" s="24"/>
      <c r="AQ397" s="24"/>
      <c r="AR397" s="24"/>
    </row>
    <row r="398" spans="1:44" x14ac:dyDescent="0.3">
      <c r="A398" s="24"/>
      <c r="B398" s="84" t="s">
        <v>38</v>
      </c>
      <c r="C398" s="24"/>
      <c r="D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row>
    <row r="399" spans="1:44" ht="18" thickBot="1" x14ac:dyDescent="0.35">
      <c r="A399" s="24"/>
      <c r="B399" s="59" t="s">
        <v>351</v>
      </c>
      <c r="C399" s="24"/>
      <c r="D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c r="AC399" s="24"/>
      <c r="AD399" s="24"/>
      <c r="AE399" s="24"/>
      <c r="AF399" s="24"/>
      <c r="AG399" s="24"/>
      <c r="AH399" s="24"/>
      <c r="AI399" s="24"/>
      <c r="AJ399" s="24"/>
      <c r="AK399" s="24"/>
      <c r="AL399" s="24"/>
      <c r="AM399" s="24"/>
      <c r="AN399" s="24"/>
      <c r="AO399" s="24"/>
      <c r="AP399" s="24"/>
      <c r="AQ399" s="24"/>
      <c r="AR399" s="24"/>
    </row>
    <row r="400" spans="1:44" x14ac:dyDescent="0.3">
      <c r="A400" s="24"/>
      <c r="B400" s="24" t="s">
        <v>352</v>
      </c>
      <c r="C400" s="24"/>
      <c r="D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c r="AC400" s="24"/>
      <c r="AD400" s="24"/>
      <c r="AE400" s="24"/>
      <c r="AF400" s="24"/>
      <c r="AG400" s="24"/>
      <c r="AH400" s="24"/>
      <c r="AI400" s="24"/>
      <c r="AJ400" s="24"/>
      <c r="AK400" s="24"/>
      <c r="AL400" s="24"/>
      <c r="AM400" s="24"/>
      <c r="AN400" s="24"/>
      <c r="AO400" s="24"/>
      <c r="AP400" s="24"/>
      <c r="AQ400" s="24"/>
      <c r="AR400" s="24"/>
    </row>
    <row r="401" spans="1:44" x14ac:dyDescent="0.3">
      <c r="A401" s="24"/>
      <c r="B401" s="24"/>
      <c r="C401" s="24"/>
      <c r="D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c r="AC401" s="24"/>
      <c r="AD401" s="24"/>
      <c r="AE401" s="24"/>
      <c r="AF401" s="24"/>
      <c r="AG401" s="24"/>
      <c r="AH401" s="24"/>
      <c r="AI401" s="24"/>
      <c r="AJ401" s="24"/>
      <c r="AK401" s="24"/>
      <c r="AL401" s="24"/>
      <c r="AM401" s="24"/>
      <c r="AN401" s="24"/>
      <c r="AO401" s="24"/>
      <c r="AP401" s="24"/>
      <c r="AQ401" s="24"/>
      <c r="AR401" s="24"/>
    </row>
    <row r="402" spans="1:44" x14ac:dyDescent="0.3">
      <c r="A402" s="24"/>
      <c r="B402" s="24"/>
      <c r="C402" s="24"/>
      <c r="D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c r="AC402" s="24"/>
      <c r="AD402" s="24"/>
      <c r="AE402" s="24"/>
      <c r="AF402" s="24"/>
      <c r="AG402" s="24"/>
      <c r="AH402" s="24"/>
      <c r="AI402" s="24"/>
      <c r="AJ402" s="24"/>
      <c r="AK402" s="24"/>
      <c r="AL402" s="24"/>
      <c r="AM402" s="24"/>
      <c r="AN402" s="24"/>
      <c r="AO402" s="24"/>
      <c r="AP402" s="24"/>
      <c r="AQ402" s="24"/>
      <c r="AR402" s="24"/>
    </row>
    <row r="403" spans="1:44" x14ac:dyDescent="0.3">
      <c r="B403" s="24" t="s">
        <v>187</v>
      </c>
      <c r="C403" s="24"/>
      <c r="D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c r="AC403" s="24"/>
      <c r="AD403" s="24"/>
      <c r="AE403" s="24"/>
      <c r="AF403" s="24"/>
      <c r="AG403" s="24"/>
      <c r="AH403" s="24"/>
      <c r="AI403" s="24"/>
      <c r="AJ403" s="24"/>
      <c r="AK403" s="24"/>
      <c r="AL403" s="24"/>
      <c r="AM403" s="24"/>
      <c r="AN403" s="24"/>
      <c r="AO403" s="24"/>
      <c r="AP403" s="24"/>
      <c r="AQ403" s="24"/>
      <c r="AR403" s="24"/>
    </row>
    <row r="404" spans="1:44" ht="43.5" customHeight="1" x14ac:dyDescent="0.25">
      <c r="A404" s="24"/>
      <c r="B404" s="133">
        <v>1</v>
      </c>
      <c r="C404" s="597" t="s">
        <v>189</v>
      </c>
      <c r="D404" s="597"/>
      <c r="E404" s="597"/>
      <c r="F404" s="597"/>
      <c r="G404" s="597"/>
      <c r="H404" s="597"/>
      <c r="I404" s="597"/>
      <c r="J404" s="597"/>
      <c r="K404" s="597"/>
      <c r="L404" s="24"/>
      <c r="M404" s="24"/>
      <c r="N404" s="24"/>
      <c r="O404" s="24"/>
      <c r="P404" s="24"/>
      <c r="Q404" s="24"/>
      <c r="R404" s="24"/>
      <c r="S404" s="24"/>
      <c r="T404" s="24"/>
      <c r="U404" s="24"/>
      <c r="V404" s="24"/>
      <c r="W404" s="24"/>
      <c r="X404" s="24"/>
      <c r="Y404" s="24"/>
      <c r="Z404" s="24"/>
      <c r="AA404" s="24"/>
      <c r="AB404" s="24"/>
      <c r="AC404" s="24"/>
      <c r="AD404" s="24"/>
      <c r="AE404" s="24"/>
      <c r="AF404" s="24"/>
      <c r="AG404" s="24"/>
      <c r="AH404" s="24"/>
      <c r="AI404" s="24"/>
      <c r="AJ404" s="24"/>
      <c r="AK404" s="24"/>
      <c r="AL404" s="24"/>
      <c r="AM404" s="24"/>
      <c r="AN404" s="24"/>
      <c r="AO404" s="24"/>
      <c r="AP404" s="24"/>
      <c r="AQ404" s="24"/>
      <c r="AR404" s="24"/>
    </row>
    <row r="405" spans="1:44" ht="42" customHeight="1" x14ac:dyDescent="0.25">
      <c r="A405" s="24"/>
      <c r="B405" s="133">
        <v>2</v>
      </c>
      <c r="C405" s="597" t="s">
        <v>320</v>
      </c>
      <c r="D405" s="597"/>
      <c r="E405" s="597"/>
      <c r="F405" s="597"/>
      <c r="G405" s="597"/>
      <c r="H405" s="597"/>
      <c r="I405" s="597"/>
      <c r="J405" s="597"/>
      <c r="K405" s="597"/>
      <c r="L405" s="24"/>
      <c r="M405" s="24"/>
      <c r="N405" s="24"/>
      <c r="O405" s="24"/>
      <c r="P405" s="24"/>
      <c r="Q405" s="24"/>
      <c r="R405" s="24"/>
      <c r="S405" s="24"/>
      <c r="T405" s="24"/>
      <c r="U405" s="24"/>
      <c r="V405" s="24"/>
      <c r="W405" s="24"/>
      <c r="X405" s="24"/>
      <c r="Y405" s="24"/>
      <c r="Z405" s="24"/>
      <c r="AA405" s="24"/>
      <c r="AB405" s="24"/>
      <c r="AC405" s="24"/>
      <c r="AD405" s="24"/>
      <c r="AE405" s="24"/>
      <c r="AF405" s="24"/>
      <c r="AG405" s="24"/>
      <c r="AH405" s="24"/>
      <c r="AI405" s="24"/>
      <c r="AJ405" s="24"/>
      <c r="AK405" s="24"/>
      <c r="AL405" s="24"/>
      <c r="AM405" s="24"/>
      <c r="AN405" s="24"/>
      <c r="AO405" s="24"/>
      <c r="AP405" s="24"/>
      <c r="AQ405" s="24"/>
      <c r="AR405" s="24"/>
    </row>
    <row r="406" spans="1:44" ht="15" x14ac:dyDescent="0.25">
      <c r="A406" s="24"/>
      <c r="B406" s="133" t="s">
        <v>188</v>
      </c>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row>
    <row r="407" spans="1:44" x14ac:dyDescent="0.3">
      <c r="A407" s="24"/>
      <c r="B407" s="132"/>
      <c r="C407" s="24"/>
      <c r="D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row>
    <row r="408" spans="1:44" x14ac:dyDescent="0.3">
      <c r="A408" s="24"/>
      <c r="B408" s="132"/>
      <c r="C408" s="24"/>
      <c r="D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row>
    <row r="409" spans="1:44" ht="15" x14ac:dyDescent="0.25">
      <c r="A409" s="24"/>
      <c r="B409" s="133" t="s">
        <v>43</v>
      </c>
      <c r="C409" s="751" t="s">
        <v>75</v>
      </c>
      <c r="D409" s="751"/>
      <c r="E409" s="751"/>
      <c r="F409" s="751"/>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row>
    <row r="410" spans="1:44" ht="15" x14ac:dyDescent="0.25">
      <c r="A410" s="24"/>
      <c r="B410" s="133" t="s">
        <v>125</v>
      </c>
      <c r="C410" s="751" t="s">
        <v>302</v>
      </c>
      <c r="D410" s="751"/>
      <c r="E410" s="751"/>
      <c r="F410" s="751"/>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row>
    <row r="411" spans="1:44" ht="15" x14ac:dyDescent="0.25">
      <c r="A411" s="24"/>
      <c r="B411" s="133" t="s">
        <v>134</v>
      </c>
      <c r="C411" s="751" t="s">
        <v>313</v>
      </c>
      <c r="D411" s="751"/>
      <c r="E411" s="751"/>
      <c r="F411" s="751"/>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row>
    <row r="412" spans="1:44" ht="15" x14ac:dyDescent="0.25">
      <c r="A412" s="24"/>
      <c r="B412" s="133" t="s">
        <v>126</v>
      </c>
      <c r="C412" s="751" t="s">
        <v>314</v>
      </c>
      <c r="D412" s="751"/>
      <c r="E412" s="751"/>
      <c r="F412" s="751"/>
      <c r="G412" s="24"/>
      <c r="H412" s="24"/>
      <c r="I412" s="24"/>
      <c r="J412" s="24"/>
      <c r="K412" s="24"/>
      <c r="L412" s="24"/>
      <c r="M412" s="24"/>
      <c r="N412" s="24"/>
      <c r="O412" s="24"/>
      <c r="P412" s="24"/>
      <c r="Q412" s="24"/>
      <c r="R412" s="24"/>
      <c r="S412" s="24"/>
      <c r="T412" s="24"/>
      <c r="U412" s="24"/>
      <c r="V412" s="24"/>
      <c r="W412" s="24"/>
      <c r="X412" s="24"/>
      <c r="Y412" s="24"/>
      <c r="Z412" s="24"/>
      <c r="AA412" s="24"/>
      <c r="AB412" s="24"/>
      <c r="AC412" s="24"/>
      <c r="AD412" s="24"/>
      <c r="AE412" s="24"/>
      <c r="AF412" s="24"/>
      <c r="AG412" s="24"/>
      <c r="AH412" s="24"/>
      <c r="AI412" s="24"/>
      <c r="AJ412" s="24"/>
      <c r="AK412" s="24"/>
      <c r="AL412" s="24"/>
      <c r="AM412" s="24"/>
      <c r="AN412" s="24"/>
      <c r="AO412" s="24"/>
      <c r="AP412" s="24"/>
      <c r="AQ412" s="24"/>
      <c r="AR412" s="24"/>
    </row>
    <row r="413" spans="1:44" ht="15" x14ac:dyDescent="0.25">
      <c r="A413" s="24"/>
      <c r="B413" s="133" t="s">
        <v>127</v>
      </c>
      <c r="C413" s="751" t="s">
        <v>315</v>
      </c>
      <c r="D413" s="751"/>
      <c r="E413" s="751"/>
      <c r="F413" s="751"/>
      <c r="G413" s="24"/>
      <c r="H413" s="24"/>
      <c r="I413" s="24"/>
      <c r="J413" s="24"/>
      <c r="K413" s="24"/>
      <c r="L413" s="24"/>
      <c r="M413" s="24"/>
      <c r="N413" s="24"/>
      <c r="O413" s="24"/>
      <c r="P413" s="24"/>
      <c r="Q413" s="24"/>
      <c r="R413" s="24"/>
      <c r="S413" s="24"/>
      <c r="T413" s="24"/>
      <c r="U413" s="24"/>
      <c r="V413" s="24"/>
      <c r="W413" s="24"/>
      <c r="X413" s="24"/>
      <c r="Y413" s="24"/>
      <c r="Z413" s="24"/>
      <c r="AA413" s="24"/>
      <c r="AB413" s="24"/>
      <c r="AC413" s="24"/>
      <c r="AD413" s="24"/>
      <c r="AE413" s="24"/>
      <c r="AF413" s="24"/>
      <c r="AG413" s="24"/>
      <c r="AH413" s="24"/>
      <c r="AI413" s="24"/>
      <c r="AJ413" s="24"/>
      <c r="AK413" s="24"/>
      <c r="AL413" s="24"/>
      <c r="AM413" s="24"/>
      <c r="AN413" s="24"/>
      <c r="AO413" s="24"/>
      <c r="AP413" s="24"/>
      <c r="AQ413" s="24"/>
      <c r="AR413" s="24"/>
    </row>
    <row r="414" spans="1:44" ht="15" x14ac:dyDescent="0.25">
      <c r="A414" s="24"/>
      <c r="B414" s="133" t="s">
        <v>128</v>
      </c>
      <c r="C414" s="751" t="s">
        <v>316</v>
      </c>
      <c r="D414" s="751"/>
      <c r="E414" s="751"/>
      <c r="F414" s="751"/>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row>
    <row r="415" spans="1:44" ht="15" x14ac:dyDescent="0.25">
      <c r="A415" s="24"/>
      <c r="B415" s="133" t="s">
        <v>129</v>
      </c>
      <c r="C415" s="752" t="s">
        <v>317</v>
      </c>
      <c r="D415" s="751"/>
      <c r="E415" s="751"/>
      <c r="F415" s="751"/>
      <c r="G415" s="24"/>
      <c r="H415" s="24"/>
      <c r="I415" s="24"/>
      <c r="J415" s="24"/>
      <c r="K415" s="24"/>
      <c r="L415" s="24"/>
      <c r="M415" s="24"/>
      <c r="N415" s="24"/>
      <c r="O415" s="24"/>
      <c r="P415" s="24"/>
      <c r="Q415" s="24"/>
      <c r="R415" s="24"/>
      <c r="S415" s="24"/>
      <c r="T415" s="24"/>
      <c r="U415" s="24"/>
      <c r="V415" s="24"/>
      <c r="W415" s="24"/>
      <c r="X415" s="24"/>
      <c r="Y415" s="24"/>
      <c r="Z415" s="24"/>
      <c r="AA415" s="24"/>
      <c r="AB415" s="24"/>
      <c r="AC415" s="24"/>
      <c r="AD415" s="24"/>
      <c r="AE415" s="24"/>
      <c r="AF415" s="24"/>
      <c r="AG415" s="24"/>
      <c r="AH415" s="24"/>
      <c r="AI415" s="24"/>
      <c r="AJ415" s="24"/>
      <c r="AK415" s="24"/>
      <c r="AL415" s="24"/>
      <c r="AM415" s="24"/>
      <c r="AN415" s="24"/>
      <c r="AO415" s="24"/>
      <c r="AP415" s="24"/>
      <c r="AQ415" s="24"/>
      <c r="AR415" s="24"/>
    </row>
    <row r="416" spans="1:44" ht="15" x14ac:dyDescent="0.25">
      <c r="A416" s="24"/>
      <c r="B416" s="133" t="s">
        <v>130</v>
      </c>
      <c r="C416" s="751" t="s">
        <v>318</v>
      </c>
      <c r="D416" s="751"/>
      <c r="E416" s="751"/>
      <c r="F416" s="751"/>
      <c r="G416" s="24"/>
      <c r="H416" s="24"/>
      <c r="I416" s="24"/>
      <c r="J416" s="24"/>
      <c r="K416" s="24"/>
      <c r="L416" s="24"/>
      <c r="M416" s="24"/>
      <c r="N416" s="24"/>
      <c r="O416" s="24"/>
      <c r="P416" s="24"/>
      <c r="Q416" s="24"/>
      <c r="R416" s="24"/>
      <c r="S416" s="24"/>
      <c r="T416" s="24"/>
      <c r="U416" s="24"/>
      <c r="V416" s="24"/>
      <c r="W416" s="24"/>
      <c r="X416" s="24"/>
      <c r="Y416" s="24"/>
      <c r="Z416" s="24"/>
      <c r="AA416" s="24"/>
      <c r="AB416" s="24"/>
      <c r="AC416" s="24"/>
      <c r="AD416" s="24"/>
      <c r="AE416" s="24"/>
      <c r="AF416" s="24"/>
      <c r="AG416" s="24"/>
      <c r="AH416" s="24"/>
      <c r="AI416" s="24"/>
      <c r="AJ416" s="24"/>
      <c r="AK416" s="24"/>
      <c r="AL416" s="24"/>
      <c r="AM416" s="24"/>
      <c r="AN416" s="24"/>
      <c r="AO416" s="24"/>
      <c r="AP416" s="24"/>
      <c r="AQ416" s="24"/>
      <c r="AR416" s="24"/>
    </row>
    <row r="417" spans="1:44" ht="15" x14ac:dyDescent="0.25">
      <c r="A417" s="24"/>
      <c r="B417" s="133" t="s">
        <v>131</v>
      </c>
      <c r="C417" s="751" t="s">
        <v>319</v>
      </c>
      <c r="D417" s="751"/>
      <c r="E417" s="751"/>
      <c r="F417" s="751"/>
      <c r="G417" s="24"/>
      <c r="H417" s="24"/>
      <c r="I417" s="24"/>
      <c r="J417" s="24"/>
      <c r="K417" s="24"/>
      <c r="L417" s="24"/>
      <c r="M417" s="24"/>
      <c r="N417" s="24"/>
      <c r="O417" s="24"/>
      <c r="P417" s="24"/>
      <c r="Q417" s="24"/>
      <c r="R417" s="24"/>
      <c r="S417" s="24"/>
      <c r="T417" s="24"/>
      <c r="U417" s="24"/>
      <c r="V417" s="24"/>
      <c r="W417" s="24"/>
      <c r="X417" s="24"/>
      <c r="Y417" s="24"/>
      <c r="Z417" s="24"/>
      <c r="AA417" s="24"/>
      <c r="AB417" s="24"/>
      <c r="AC417" s="24"/>
      <c r="AD417" s="24"/>
      <c r="AE417" s="24"/>
      <c r="AF417" s="24"/>
      <c r="AG417" s="24"/>
      <c r="AH417" s="24"/>
      <c r="AI417" s="24"/>
      <c r="AJ417" s="24"/>
      <c r="AK417" s="24"/>
      <c r="AL417" s="24"/>
      <c r="AM417" s="24"/>
      <c r="AN417" s="24"/>
      <c r="AO417" s="24"/>
      <c r="AP417" s="24"/>
      <c r="AQ417" s="24"/>
      <c r="AR417" s="24"/>
    </row>
    <row r="418" spans="1:44" x14ac:dyDescent="0.3">
      <c r="A418" s="24"/>
      <c r="B418" s="133" t="s">
        <v>324</v>
      </c>
      <c r="C418" s="24"/>
      <c r="D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c r="AC418" s="24"/>
      <c r="AD418" s="24"/>
      <c r="AE418" s="24"/>
      <c r="AF418" s="24"/>
      <c r="AG418" s="24"/>
      <c r="AH418" s="24"/>
      <c r="AI418" s="24"/>
      <c r="AJ418" s="24"/>
      <c r="AK418" s="24"/>
      <c r="AL418" s="24"/>
      <c r="AM418" s="24"/>
      <c r="AN418" s="24"/>
      <c r="AO418" s="24"/>
      <c r="AP418" s="24"/>
      <c r="AQ418" s="24"/>
      <c r="AR418" s="24"/>
    </row>
    <row r="419" spans="1:44" x14ac:dyDescent="0.3">
      <c r="A419" s="24"/>
      <c r="B419" s="24"/>
      <c r="C419" s="24"/>
      <c r="D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c r="AC419" s="24"/>
      <c r="AD419" s="24"/>
      <c r="AE419" s="24"/>
      <c r="AF419" s="24"/>
      <c r="AG419" s="24"/>
      <c r="AH419" s="24"/>
      <c r="AI419" s="24"/>
      <c r="AJ419" s="24"/>
      <c r="AK419" s="24"/>
      <c r="AL419" s="24"/>
      <c r="AM419" s="24"/>
      <c r="AN419" s="24"/>
      <c r="AO419" s="24"/>
      <c r="AP419" s="24"/>
      <c r="AQ419" s="24"/>
      <c r="AR419" s="24"/>
    </row>
    <row r="420" spans="1:44" x14ac:dyDescent="0.3">
      <c r="A420" s="24"/>
      <c r="B420" s="24"/>
      <c r="C420" s="24"/>
      <c r="D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c r="AC420" s="24"/>
      <c r="AD420" s="24"/>
      <c r="AE420" s="24"/>
      <c r="AF420" s="24"/>
      <c r="AG420" s="24"/>
      <c r="AH420" s="24"/>
      <c r="AI420" s="24"/>
      <c r="AJ420" s="24"/>
      <c r="AK420" s="24"/>
      <c r="AL420" s="24"/>
      <c r="AM420" s="24"/>
      <c r="AN420" s="24"/>
      <c r="AO420" s="24"/>
      <c r="AP420" s="24"/>
      <c r="AQ420" s="24"/>
      <c r="AR420" s="24"/>
    </row>
    <row r="421" spans="1:44" x14ac:dyDescent="0.3">
      <c r="A421" s="24"/>
      <c r="B421" s="24"/>
      <c r="C421" s="24"/>
      <c r="D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c r="AC421" s="24"/>
      <c r="AD421" s="24"/>
      <c r="AE421" s="24"/>
      <c r="AF421" s="24"/>
      <c r="AG421" s="24"/>
      <c r="AH421" s="24"/>
      <c r="AI421" s="24"/>
      <c r="AJ421" s="24"/>
      <c r="AK421" s="24"/>
      <c r="AL421" s="24"/>
      <c r="AM421" s="24"/>
      <c r="AN421" s="24"/>
      <c r="AO421" s="24"/>
      <c r="AP421" s="24"/>
      <c r="AQ421" s="24"/>
      <c r="AR421" s="24"/>
    </row>
    <row r="422" spans="1:44" x14ac:dyDescent="0.3">
      <c r="A422" s="24"/>
      <c r="B422" s="24"/>
      <c r="C422" s="24"/>
      <c r="D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row>
    <row r="423" spans="1:44" x14ac:dyDescent="0.3">
      <c r="A423" s="24"/>
      <c r="B423" s="24"/>
      <c r="C423" s="24"/>
      <c r="D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c r="AC423" s="24"/>
      <c r="AD423" s="24"/>
      <c r="AE423" s="24"/>
      <c r="AF423" s="24"/>
      <c r="AG423" s="24"/>
      <c r="AH423" s="24"/>
      <c r="AI423" s="24"/>
      <c r="AJ423" s="24"/>
      <c r="AK423" s="24"/>
      <c r="AL423" s="24"/>
      <c r="AM423" s="24"/>
      <c r="AN423" s="24"/>
      <c r="AO423" s="24"/>
      <c r="AP423" s="24"/>
      <c r="AQ423" s="24"/>
      <c r="AR423" s="24"/>
    </row>
    <row r="424" spans="1:44" x14ac:dyDescent="0.3">
      <c r="A424" s="24"/>
      <c r="B424" s="24"/>
      <c r="C424" s="24"/>
      <c r="D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row>
    <row r="425" spans="1:44" x14ac:dyDescent="0.3">
      <c r="A425" s="24"/>
      <c r="B425" s="24"/>
      <c r="C425" s="24"/>
      <c r="D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row>
    <row r="426" spans="1:44" x14ac:dyDescent="0.3">
      <c r="A426" s="24"/>
      <c r="B426" s="24"/>
      <c r="C426" s="24"/>
      <c r="D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row>
    <row r="427" spans="1:44" x14ac:dyDescent="0.3">
      <c r="A427" s="24"/>
      <c r="B427" s="24"/>
      <c r="C427" s="24"/>
      <c r="D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row>
    <row r="428" spans="1:44" x14ac:dyDescent="0.3">
      <c r="A428" s="24"/>
      <c r="B428" s="24"/>
      <c r="C428" s="24"/>
      <c r="D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row>
    <row r="429" spans="1:44" x14ac:dyDescent="0.3">
      <c r="A429" s="24"/>
      <c r="B429" s="24"/>
      <c r="C429" s="24"/>
      <c r="D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c r="AC429" s="24"/>
      <c r="AD429" s="24"/>
      <c r="AE429" s="24"/>
      <c r="AF429" s="24"/>
      <c r="AG429" s="24"/>
      <c r="AH429" s="24"/>
      <c r="AI429" s="24"/>
      <c r="AJ429" s="24"/>
      <c r="AK429" s="24"/>
      <c r="AL429" s="24"/>
      <c r="AM429" s="24"/>
      <c r="AN429" s="24"/>
      <c r="AO429" s="24"/>
      <c r="AP429" s="24"/>
      <c r="AQ429" s="24"/>
      <c r="AR429" s="24"/>
    </row>
    <row r="430" spans="1:44" x14ac:dyDescent="0.3">
      <c r="A430" s="24"/>
      <c r="B430" s="24"/>
      <c r="C430" s="24"/>
      <c r="D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row>
    <row r="431" spans="1:44" x14ac:dyDescent="0.3">
      <c r="A431" s="24"/>
      <c r="B431" s="24"/>
      <c r="C431" s="24"/>
      <c r="D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c r="AC431" s="24"/>
      <c r="AD431" s="24"/>
      <c r="AE431" s="24"/>
      <c r="AF431" s="24"/>
      <c r="AG431" s="24"/>
      <c r="AH431" s="24"/>
      <c r="AI431" s="24"/>
      <c r="AJ431" s="24"/>
      <c r="AK431" s="24"/>
      <c r="AL431" s="24"/>
      <c r="AM431" s="24"/>
      <c r="AN431" s="24"/>
      <c r="AO431" s="24"/>
      <c r="AP431" s="24"/>
      <c r="AQ431" s="24"/>
      <c r="AR431" s="24"/>
    </row>
    <row r="432" spans="1:44" x14ac:dyDescent="0.3">
      <c r="A432" s="24"/>
      <c r="B432" s="24"/>
      <c r="C432" s="24"/>
      <c r="D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c r="AC432" s="24"/>
      <c r="AD432" s="24"/>
      <c r="AE432" s="24"/>
      <c r="AF432" s="24"/>
      <c r="AG432" s="24"/>
      <c r="AH432" s="24"/>
      <c r="AI432" s="24"/>
      <c r="AJ432" s="24"/>
      <c r="AK432" s="24"/>
      <c r="AL432" s="24"/>
      <c r="AM432" s="24"/>
      <c r="AN432" s="24"/>
      <c r="AO432" s="24"/>
      <c r="AP432" s="24"/>
      <c r="AQ432" s="24"/>
      <c r="AR432" s="24"/>
    </row>
    <row r="433" spans="1:44" x14ac:dyDescent="0.3">
      <c r="A433" s="24"/>
      <c r="B433" s="24"/>
      <c r="C433" s="24"/>
      <c r="D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c r="AC433" s="24"/>
      <c r="AD433" s="24"/>
      <c r="AE433" s="24"/>
      <c r="AF433" s="24"/>
      <c r="AG433" s="24"/>
      <c r="AH433" s="24"/>
      <c r="AI433" s="24"/>
      <c r="AJ433" s="24"/>
      <c r="AK433" s="24"/>
      <c r="AL433" s="24"/>
      <c r="AM433" s="24"/>
      <c r="AN433" s="24"/>
      <c r="AO433" s="24"/>
      <c r="AP433" s="24"/>
      <c r="AQ433" s="24"/>
      <c r="AR433" s="24"/>
    </row>
    <row r="434" spans="1:44" x14ac:dyDescent="0.3">
      <c r="A434" s="24"/>
      <c r="B434" s="24"/>
      <c r="C434" s="24"/>
      <c r="D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c r="AC434" s="24"/>
      <c r="AD434" s="24"/>
      <c r="AE434" s="24"/>
      <c r="AF434" s="24"/>
      <c r="AG434" s="24"/>
      <c r="AH434" s="24"/>
      <c r="AI434" s="24"/>
      <c r="AJ434" s="24"/>
      <c r="AK434" s="24"/>
      <c r="AL434" s="24"/>
      <c r="AM434" s="24"/>
      <c r="AN434" s="24"/>
      <c r="AO434" s="24"/>
      <c r="AP434" s="24"/>
      <c r="AQ434" s="24"/>
      <c r="AR434" s="24"/>
    </row>
    <row r="435" spans="1:44" x14ac:dyDescent="0.3">
      <c r="A435" s="24"/>
      <c r="B435" s="24"/>
      <c r="C435" s="24"/>
      <c r="D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c r="AC435" s="24"/>
      <c r="AD435" s="24"/>
      <c r="AE435" s="24"/>
      <c r="AF435" s="24"/>
      <c r="AG435" s="24"/>
      <c r="AH435" s="24"/>
      <c r="AI435" s="24"/>
      <c r="AJ435" s="24"/>
      <c r="AK435" s="24"/>
      <c r="AL435" s="24"/>
      <c r="AM435" s="24"/>
      <c r="AN435" s="24"/>
      <c r="AO435" s="24"/>
      <c r="AP435" s="24"/>
      <c r="AQ435" s="24"/>
      <c r="AR435" s="24"/>
    </row>
    <row r="436" spans="1:44" x14ac:dyDescent="0.3">
      <c r="A436" s="24"/>
      <c r="B436" s="24"/>
      <c r="C436" s="24"/>
      <c r="D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c r="AC436" s="24"/>
      <c r="AD436" s="24"/>
      <c r="AE436" s="24"/>
      <c r="AF436" s="24"/>
      <c r="AG436" s="24"/>
      <c r="AH436" s="24"/>
      <c r="AI436" s="24"/>
      <c r="AJ436" s="24"/>
      <c r="AK436" s="24"/>
      <c r="AL436" s="24"/>
      <c r="AM436" s="24"/>
      <c r="AN436" s="24"/>
      <c r="AO436" s="24"/>
      <c r="AP436" s="24"/>
      <c r="AQ436" s="24"/>
      <c r="AR436" s="24"/>
    </row>
    <row r="437" spans="1:44" x14ac:dyDescent="0.3">
      <c r="A437" s="24"/>
      <c r="B437" s="24"/>
      <c r="C437" s="24"/>
      <c r="D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c r="AC437" s="24"/>
      <c r="AD437" s="24"/>
      <c r="AE437" s="24"/>
      <c r="AF437" s="24"/>
      <c r="AG437" s="24"/>
      <c r="AH437" s="24"/>
      <c r="AI437" s="24"/>
      <c r="AJ437" s="24"/>
      <c r="AK437" s="24"/>
      <c r="AL437" s="24"/>
      <c r="AM437" s="24"/>
      <c r="AN437" s="24"/>
      <c r="AO437" s="24"/>
      <c r="AP437" s="24"/>
      <c r="AQ437" s="24"/>
      <c r="AR437" s="24"/>
    </row>
    <row r="438" spans="1:44" x14ac:dyDescent="0.3">
      <c r="A438" s="24"/>
      <c r="B438" s="24"/>
      <c r="C438" s="24"/>
      <c r="D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row>
    <row r="439" spans="1:44" x14ac:dyDescent="0.3">
      <c r="A439" s="24"/>
      <c r="B439" s="24"/>
      <c r="C439" s="24"/>
      <c r="D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c r="AC439" s="24"/>
      <c r="AD439" s="24"/>
      <c r="AE439" s="24"/>
      <c r="AF439" s="24"/>
      <c r="AG439" s="24"/>
      <c r="AH439" s="24"/>
      <c r="AI439" s="24"/>
      <c r="AJ439" s="24"/>
      <c r="AK439" s="24"/>
      <c r="AL439" s="24"/>
      <c r="AM439" s="24"/>
      <c r="AN439" s="24"/>
      <c r="AO439" s="24"/>
      <c r="AP439" s="24"/>
      <c r="AQ439" s="24"/>
      <c r="AR439" s="24"/>
    </row>
    <row r="440" spans="1:44" x14ac:dyDescent="0.3">
      <c r="A440" s="24"/>
      <c r="B440" s="24"/>
      <c r="C440" s="24"/>
      <c r="D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c r="AC440" s="24"/>
      <c r="AD440" s="24"/>
      <c r="AE440" s="24"/>
      <c r="AF440" s="24"/>
      <c r="AG440" s="24"/>
      <c r="AH440" s="24"/>
      <c r="AI440" s="24"/>
      <c r="AJ440" s="24"/>
      <c r="AK440" s="24"/>
      <c r="AL440" s="24"/>
      <c r="AM440" s="24"/>
      <c r="AN440" s="24"/>
      <c r="AO440" s="24"/>
      <c r="AP440" s="24"/>
      <c r="AQ440" s="24"/>
      <c r="AR440" s="24"/>
    </row>
    <row r="441" spans="1:44" x14ac:dyDescent="0.3">
      <c r="A441" s="24"/>
      <c r="B441" s="24"/>
      <c r="C441" s="24"/>
      <c r="D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row>
    <row r="442" spans="1:44" x14ac:dyDescent="0.3">
      <c r="A442" s="24"/>
      <c r="B442" s="24"/>
      <c r="C442" s="24"/>
      <c r="D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row>
    <row r="443" spans="1:44" x14ac:dyDescent="0.3">
      <c r="A443" s="24"/>
      <c r="B443" s="24"/>
      <c r="C443" s="24"/>
      <c r="D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row>
    <row r="444" spans="1:44" x14ac:dyDescent="0.3">
      <c r="A444" s="24"/>
      <c r="B444" s="24"/>
      <c r="C444" s="24"/>
      <c r="D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row>
    <row r="445" spans="1:44" x14ac:dyDescent="0.3">
      <c r="A445" s="24"/>
      <c r="B445" s="24"/>
      <c r="C445" s="24"/>
      <c r="D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row>
    <row r="446" spans="1:44" x14ac:dyDescent="0.3">
      <c r="A446" s="24"/>
      <c r="B446" s="24"/>
      <c r="C446" s="24"/>
      <c r="D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row>
    <row r="447" spans="1:44" x14ac:dyDescent="0.3">
      <c r="A447" s="24"/>
      <c r="B447" s="24"/>
      <c r="C447" s="24"/>
      <c r="D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c r="AO447" s="24"/>
      <c r="AP447" s="24"/>
      <c r="AQ447" s="24"/>
      <c r="AR447" s="24"/>
    </row>
    <row r="448" spans="1:44" x14ac:dyDescent="0.3">
      <c r="A448" s="24"/>
      <c r="B448" s="24"/>
      <c r="C448" s="24"/>
      <c r="D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c r="AC448" s="24"/>
      <c r="AD448" s="24"/>
      <c r="AE448" s="24"/>
      <c r="AF448" s="24"/>
      <c r="AG448" s="24"/>
      <c r="AH448" s="24"/>
      <c r="AI448" s="24"/>
      <c r="AJ448" s="24"/>
      <c r="AK448" s="24"/>
      <c r="AL448" s="24"/>
      <c r="AM448" s="24"/>
      <c r="AN448" s="24"/>
      <c r="AO448" s="24"/>
      <c r="AP448" s="24"/>
      <c r="AQ448" s="24"/>
      <c r="AR448" s="24"/>
    </row>
    <row r="449" spans="1:44" x14ac:dyDescent="0.3">
      <c r="A449" s="24"/>
      <c r="B449" s="24"/>
      <c r="C449" s="24"/>
      <c r="D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c r="AO449" s="24"/>
      <c r="AP449" s="24"/>
      <c r="AQ449" s="24"/>
      <c r="AR449" s="24"/>
    </row>
    <row r="450" spans="1:44" x14ac:dyDescent="0.3">
      <c r="A450" s="24"/>
      <c r="B450" s="24"/>
      <c r="C450" s="24"/>
      <c r="D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c r="AC450" s="24"/>
      <c r="AD450" s="24"/>
      <c r="AE450" s="24"/>
      <c r="AF450" s="24"/>
      <c r="AG450" s="24"/>
      <c r="AH450" s="24"/>
      <c r="AI450" s="24"/>
      <c r="AJ450" s="24"/>
      <c r="AK450" s="24"/>
      <c r="AL450" s="24"/>
      <c r="AM450" s="24"/>
      <c r="AN450" s="24"/>
      <c r="AO450" s="24"/>
      <c r="AP450" s="24"/>
      <c r="AQ450" s="24"/>
      <c r="AR450" s="24"/>
    </row>
    <row r="451" spans="1:44" x14ac:dyDescent="0.3">
      <c r="A451" s="24"/>
      <c r="B451" s="24"/>
      <c r="C451" s="24"/>
      <c r="D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c r="AO451" s="24"/>
      <c r="AP451" s="24"/>
      <c r="AQ451" s="24"/>
      <c r="AR451" s="24"/>
    </row>
    <row r="452" spans="1:44" x14ac:dyDescent="0.3">
      <c r="A452" s="24"/>
      <c r="B452" s="24"/>
      <c r="C452" s="24"/>
      <c r="D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c r="AC452" s="24"/>
      <c r="AD452" s="24"/>
      <c r="AE452" s="24"/>
      <c r="AF452" s="24"/>
      <c r="AG452" s="24"/>
      <c r="AH452" s="24"/>
      <c r="AI452" s="24"/>
      <c r="AJ452" s="24"/>
      <c r="AK452" s="24"/>
      <c r="AL452" s="24"/>
      <c r="AM452" s="24"/>
      <c r="AN452" s="24"/>
      <c r="AO452" s="24"/>
      <c r="AP452" s="24"/>
      <c r="AQ452" s="24"/>
      <c r="AR452" s="24"/>
    </row>
    <row r="453" spans="1:44" x14ac:dyDescent="0.3">
      <c r="A453" s="24"/>
      <c r="B453" s="24"/>
      <c r="C453" s="24"/>
      <c r="D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c r="AC453" s="24"/>
      <c r="AD453" s="24"/>
      <c r="AE453" s="24"/>
      <c r="AF453" s="24"/>
      <c r="AG453" s="24"/>
      <c r="AH453" s="24"/>
      <c r="AI453" s="24"/>
      <c r="AJ453" s="24"/>
      <c r="AK453" s="24"/>
      <c r="AL453" s="24"/>
      <c r="AM453" s="24"/>
      <c r="AN453" s="24"/>
      <c r="AO453" s="24"/>
      <c r="AP453" s="24"/>
      <c r="AQ453" s="24"/>
      <c r="AR453" s="24"/>
    </row>
    <row r="454" spans="1:44" x14ac:dyDescent="0.3">
      <c r="A454" s="24"/>
      <c r="B454" s="24"/>
      <c r="C454" s="24"/>
      <c r="D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row>
    <row r="455" spans="1:44" x14ac:dyDescent="0.3">
      <c r="A455" s="24"/>
      <c r="B455" s="24"/>
      <c r="C455" s="24"/>
      <c r="D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c r="AO455" s="24"/>
      <c r="AP455" s="24"/>
      <c r="AQ455" s="24"/>
      <c r="AR455" s="24"/>
    </row>
    <row r="456" spans="1:44" x14ac:dyDescent="0.3">
      <c r="A456" s="24"/>
      <c r="B456" s="24"/>
      <c r="C456" s="24"/>
      <c r="D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c r="AO456" s="24"/>
      <c r="AP456" s="24"/>
      <c r="AQ456" s="24"/>
      <c r="AR456" s="24"/>
    </row>
    <row r="457" spans="1:44" x14ac:dyDescent="0.3">
      <c r="A457" s="24"/>
      <c r="B457" s="24"/>
      <c r="C457" s="24"/>
      <c r="D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c r="AO457" s="24"/>
      <c r="AP457" s="24"/>
      <c r="AQ457" s="24"/>
      <c r="AR457" s="24"/>
    </row>
    <row r="458" spans="1:44" x14ac:dyDescent="0.3">
      <c r="A458" s="24"/>
      <c r="B458" s="24"/>
      <c r="C458" s="24"/>
      <c r="D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row>
    <row r="459" spans="1:44" x14ac:dyDescent="0.3">
      <c r="A459" s="24"/>
      <c r="B459" s="24"/>
      <c r="C459" s="24"/>
      <c r="D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row>
    <row r="460" spans="1:44" x14ac:dyDescent="0.3">
      <c r="A460" s="24"/>
      <c r="B460" s="24"/>
      <c r="C460" s="24"/>
      <c r="D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row>
    <row r="461" spans="1:44" x14ac:dyDescent="0.3">
      <c r="A461" s="24"/>
      <c r="B461" s="24"/>
      <c r="C461" s="24"/>
      <c r="D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row>
    <row r="462" spans="1:44" x14ac:dyDescent="0.3">
      <c r="A462" s="24"/>
      <c r="B462" s="24"/>
      <c r="C462" s="24"/>
      <c r="D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row>
    <row r="463" spans="1:44" x14ac:dyDescent="0.3">
      <c r="A463" s="24"/>
      <c r="B463" s="24"/>
      <c r="C463" s="24"/>
      <c r="D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row>
    <row r="464" spans="1:44" x14ac:dyDescent="0.3">
      <c r="A464" s="24"/>
      <c r="B464" s="24"/>
      <c r="C464" s="24"/>
      <c r="D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row>
    <row r="465" spans="1:44" x14ac:dyDescent="0.3">
      <c r="A465" s="24"/>
      <c r="B465" s="24"/>
      <c r="C465" s="24"/>
      <c r="D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row>
    <row r="466" spans="1:44" x14ac:dyDescent="0.3">
      <c r="A466" s="24"/>
      <c r="B466" s="24"/>
      <c r="C466" s="24"/>
      <c r="D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row>
    <row r="467" spans="1:44" x14ac:dyDescent="0.3">
      <c r="A467" s="24"/>
      <c r="B467" s="24"/>
      <c r="C467" s="24"/>
      <c r="D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row>
    <row r="468" spans="1:44" x14ac:dyDescent="0.3">
      <c r="A468" s="24"/>
      <c r="B468" s="24"/>
      <c r="C468" s="24"/>
      <c r="D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row>
    <row r="469" spans="1:44" x14ac:dyDescent="0.3">
      <c r="A469" s="24"/>
      <c r="B469" s="24"/>
      <c r="C469" s="24"/>
      <c r="D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row>
    <row r="470" spans="1:44" x14ac:dyDescent="0.3">
      <c r="A470" s="24"/>
      <c r="B470" s="24"/>
      <c r="C470" s="24"/>
      <c r="D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row>
    <row r="471" spans="1:44" x14ac:dyDescent="0.3">
      <c r="A471" s="24"/>
      <c r="B471" s="24"/>
      <c r="C471" s="24"/>
      <c r="D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row>
    <row r="472" spans="1:44" x14ac:dyDescent="0.3">
      <c r="A472" s="24"/>
      <c r="B472" s="24"/>
      <c r="C472" s="24"/>
      <c r="D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row>
    <row r="473" spans="1:44" x14ac:dyDescent="0.3">
      <c r="A473" s="24"/>
      <c r="B473" s="24"/>
      <c r="C473" s="24"/>
      <c r="D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row>
    <row r="474" spans="1:44" x14ac:dyDescent="0.3">
      <c r="A474" s="24"/>
      <c r="B474" s="24"/>
      <c r="C474" s="24"/>
      <c r="D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row>
    <row r="475" spans="1:44" x14ac:dyDescent="0.3">
      <c r="A475" s="24"/>
      <c r="B475" s="24"/>
      <c r="C475" s="24"/>
      <c r="D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row>
    <row r="476" spans="1:44" x14ac:dyDescent="0.3">
      <c r="A476" s="24"/>
      <c r="B476" s="24"/>
      <c r="C476" s="24"/>
      <c r="D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row>
    <row r="477" spans="1:44" x14ac:dyDescent="0.3">
      <c r="A477" s="24"/>
      <c r="B477" s="24"/>
      <c r="C477" s="24"/>
      <c r="D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row>
    <row r="478" spans="1:44" x14ac:dyDescent="0.3">
      <c r="A478" s="24"/>
      <c r="B478" s="24"/>
      <c r="C478" s="24"/>
      <c r="D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row>
    <row r="479" spans="1:44" x14ac:dyDescent="0.3">
      <c r="A479" s="24"/>
      <c r="B479" s="24"/>
      <c r="C479" s="24"/>
      <c r="D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c r="AO479" s="24"/>
      <c r="AP479" s="24"/>
      <c r="AQ479" s="24"/>
      <c r="AR479" s="24"/>
    </row>
    <row r="480" spans="1:44" x14ac:dyDescent="0.3">
      <c r="A480" s="24"/>
      <c r="B480" s="24"/>
      <c r="C480" s="24"/>
      <c r="D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c r="AC480" s="24"/>
      <c r="AD480" s="24"/>
      <c r="AE480" s="24"/>
      <c r="AF480" s="24"/>
      <c r="AG480" s="24"/>
      <c r="AH480" s="24"/>
      <c r="AI480" s="24"/>
      <c r="AJ480" s="24"/>
      <c r="AK480" s="24"/>
      <c r="AL480" s="24"/>
      <c r="AM480" s="24"/>
      <c r="AN480" s="24"/>
      <c r="AO480" s="24"/>
      <c r="AP480" s="24"/>
      <c r="AQ480" s="24"/>
      <c r="AR480" s="24"/>
    </row>
    <row r="481" spans="1:44" x14ac:dyDescent="0.3">
      <c r="A481" s="24"/>
      <c r="B481" s="24"/>
      <c r="C481" s="24"/>
      <c r="D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c r="AC481" s="24"/>
      <c r="AD481" s="24"/>
      <c r="AE481" s="24"/>
      <c r="AF481" s="24"/>
      <c r="AG481" s="24"/>
      <c r="AH481" s="24"/>
      <c r="AI481" s="24"/>
      <c r="AJ481" s="24"/>
      <c r="AK481" s="24"/>
      <c r="AL481" s="24"/>
      <c r="AM481" s="24"/>
      <c r="AN481" s="24"/>
      <c r="AO481" s="24"/>
      <c r="AP481" s="24"/>
      <c r="AQ481" s="24"/>
      <c r="AR481" s="24"/>
    </row>
    <row r="482" spans="1:44" x14ac:dyDescent="0.3">
      <c r="A482" s="24"/>
      <c r="B482" s="24"/>
      <c r="C482" s="24"/>
      <c r="D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c r="AC482" s="24"/>
      <c r="AD482" s="24"/>
      <c r="AE482" s="24"/>
      <c r="AF482" s="24"/>
      <c r="AG482" s="24"/>
      <c r="AH482" s="24"/>
      <c r="AI482" s="24"/>
      <c r="AJ482" s="24"/>
      <c r="AK482" s="24"/>
      <c r="AL482" s="24"/>
      <c r="AM482" s="24"/>
      <c r="AN482" s="24"/>
      <c r="AO482" s="24"/>
      <c r="AP482" s="24"/>
      <c r="AQ482" s="24"/>
      <c r="AR482" s="24"/>
    </row>
    <row r="483" spans="1:44" x14ac:dyDescent="0.3">
      <c r="A483" s="24"/>
      <c r="B483" s="24"/>
      <c r="C483" s="24"/>
      <c r="D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c r="AC483" s="24"/>
      <c r="AD483" s="24"/>
      <c r="AE483" s="24"/>
      <c r="AF483" s="24"/>
      <c r="AG483" s="24"/>
      <c r="AH483" s="24"/>
      <c r="AI483" s="24"/>
      <c r="AJ483" s="24"/>
      <c r="AK483" s="24"/>
      <c r="AL483" s="24"/>
      <c r="AM483" s="24"/>
      <c r="AN483" s="24"/>
      <c r="AO483" s="24"/>
      <c r="AP483" s="24"/>
      <c r="AQ483" s="24"/>
      <c r="AR483" s="24"/>
    </row>
    <row r="484" spans="1:44" x14ac:dyDescent="0.3">
      <c r="A484" s="24"/>
      <c r="B484" s="24"/>
      <c r="C484" s="24"/>
      <c r="D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c r="AC484" s="24"/>
      <c r="AD484" s="24"/>
      <c r="AE484" s="24"/>
      <c r="AF484" s="24"/>
      <c r="AG484" s="24"/>
      <c r="AH484" s="24"/>
      <c r="AI484" s="24"/>
      <c r="AJ484" s="24"/>
      <c r="AK484" s="24"/>
      <c r="AL484" s="24"/>
      <c r="AM484" s="24"/>
      <c r="AN484" s="24"/>
      <c r="AO484" s="24"/>
      <c r="AP484" s="24"/>
      <c r="AQ484" s="24"/>
      <c r="AR484" s="24"/>
    </row>
    <row r="485" spans="1:44" x14ac:dyDescent="0.3">
      <c r="A485" s="24"/>
      <c r="B485" s="24"/>
      <c r="C485" s="24"/>
      <c r="D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c r="AC485" s="24"/>
      <c r="AD485" s="24"/>
      <c r="AE485" s="24"/>
      <c r="AF485" s="24"/>
      <c r="AG485" s="24"/>
      <c r="AH485" s="24"/>
      <c r="AI485" s="24"/>
      <c r="AJ485" s="24"/>
      <c r="AK485" s="24"/>
      <c r="AL485" s="24"/>
      <c r="AM485" s="24"/>
      <c r="AN485" s="24"/>
      <c r="AO485" s="24"/>
      <c r="AP485" s="24"/>
      <c r="AQ485" s="24"/>
      <c r="AR485" s="24"/>
    </row>
    <row r="486" spans="1:44" x14ac:dyDescent="0.3">
      <c r="A486" s="24"/>
      <c r="B486" s="24"/>
      <c r="C486" s="24"/>
      <c r="D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c r="AC486" s="24"/>
      <c r="AD486" s="24"/>
      <c r="AE486" s="24"/>
      <c r="AF486" s="24"/>
      <c r="AG486" s="24"/>
      <c r="AH486" s="24"/>
      <c r="AI486" s="24"/>
      <c r="AJ486" s="24"/>
      <c r="AK486" s="24"/>
      <c r="AL486" s="24"/>
      <c r="AM486" s="24"/>
      <c r="AN486" s="24"/>
      <c r="AO486" s="24"/>
      <c r="AP486" s="24"/>
      <c r="AQ486" s="24"/>
      <c r="AR486" s="24"/>
    </row>
    <row r="487" spans="1:44" x14ac:dyDescent="0.3">
      <c r="A487" s="24"/>
      <c r="B487" s="24"/>
      <c r="C487" s="24"/>
      <c r="D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c r="AC487" s="24"/>
      <c r="AD487" s="24"/>
      <c r="AE487" s="24"/>
      <c r="AF487" s="24"/>
      <c r="AG487" s="24"/>
      <c r="AH487" s="24"/>
      <c r="AI487" s="24"/>
      <c r="AJ487" s="24"/>
      <c r="AK487" s="24"/>
      <c r="AL487" s="24"/>
      <c r="AM487" s="24"/>
      <c r="AN487" s="24"/>
      <c r="AO487" s="24"/>
      <c r="AP487" s="24"/>
      <c r="AQ487" s="24"/>
      <c r="AR487" s="24"/>
    </row>
    <row r="488" spans="1:44" x14ac:dyDescent="0.3">
      <c r="A488" s="24"/>
      <c r="B488" s="24"/>
      <c r="C488" s="24"/>
      <c r="D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c r="AC488" s="24"/>
      <c r="AD488" s="24"/>
      <c r="AE488" s="24"/>
      <c r="AF488" s="24"/>
      <c r="AG488" s="24"/>
      <c r="AH488" s="24"/>
      <c r="AI488" s="24"/>
      <c r="AJ488" s="24"/>
      <c r="AK488" s="24"/>
      <c r="AL488" s="24"/>
      <c r="AM488" s="24"/>
      <c r="AN488" s="24"/>
      <c r="AO488" s="24"/>
      <c r="AP488" s="24"/>
      <c r="AQ488" s="24"/>
      <c r="AR488" s="24"/>
    </row>
    <row r="489" spans="1:44" x14ac:dyDescent="0.3">
      <c r="A489" s="24"/>
      <c r="B489" s="24"/>
      <c r="C489" s="24"/>
      <c r="D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row>
    <row r="490" spans="1:44" x14ac:dyDescent="0.3">
      <c r="A490" s="24"/>
      <c r="B490" s="24"/>
      <c r="C490" s="24"/>
      <c r="D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row>
    <row r="491" spans="1:44" x14ac:dyDescent="0.3">
      <c r="A491" s="24"/>
      <c r="B491" s="24"/>
      <c r="C491" s="24"/>
      <c r="D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row>
    <row r="492" spans="1:44" x14ac:dyDescent="0.3">
      <c r="A492" s="24"/>
      <c r="B492" s="24"/>
      <c r="C492" s="24"/>
      <c r="D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row>
    <row r="493" spans="1:44" x14ac:dyDescent="0.3">
      <c r="A493" s="24"/>
      <c r="B493" s="24"/>
      <c r="C493" s="24"/>
      <c r="D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row>
    <row r="494" spans="1:44" x14ac:dyDescent="0.3">
      <c r="A494" s="24"/>
      <c r="B494" s="24"/>
      <c r="C494" s="24"/>
      <c r="D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c r="AO494" s="24"/>
      <c r="AP494" s="24"/>
      <c r="AQ494" s="24"/>
      <c r="AR494" s="24"/>
    </row>
    <row r="495" spans="1:44" x14ac:dyDescent="0.3">
      <c r="A495" s="24"/>
      <c r="B495" s="24"/>
      <c r="C495" s="24"/>
      <c r="D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c r="AO495" s="24"/>
      <c r="AP495" s="24"/>
      <c r="AQ495" s="24"/>
      <c r="AR495" s="24"/>
    </row>
    <row r="496" spans="1:44" x14ac:dyDescent="0.3">
      <c r="A496" s="24"/>
      <c r="B496" s="24"/>
      <c r="C496" s="24"/>
      <c r="D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c r="AO496" s="24"/>
      <c r="AP496" s="24"/>
      <c r="AQ496" s="24"/>
      <c r="AR496" s="24"/>
    </row>
    <row r="497" spans="1:44" x14ac:dyDescent="0.3">
      <c r="A497" s="24"/>
      <c r="B497" s="24"/>
      <c r="C497" s="24"/>
      <c r="D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c r="AO497" s="24"/>
      <c r="AP497" s="24"/>
      <c r="AQ497" s="24"/>
      <c r="AR497" s="24"/>
    </row>
    <row r="498" spans="1:44" x14ac:dyDescent="0.3">
      <c r="A498" s="24"/>
      <c r="B498" s="24"/>
      <c r="C498" s="24"/>
      <c r="D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c r="AO498" s="24"/>
      <c r="AP498" s="24"/>
      <c r="AQ498" s="24"/>
      <c r="AR498" s="24"/>
    </row>
    <row r="499" spans="1:44" x14ac:dyDescent="0.3">
      <c r="A499" s="24"/>
      <c r="B499" s="24"/>
      <c r="C499" s="24"/>
      <c r="D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c r="AC499" s="24"/>
      <c r="AD499" s="24"/>
      <c r="AE499" s="24"/>
      <c r="AF499" s="24"/>
      <c r="AG499" s="24"/>
      <c r="AH499" s="24"/>
      <c r="AI499" s="24"/>
      <c r="AJ499" s="24"/>
      <c r="AK499" s="24"/>
      <c r="AL499" s="24"/>
      <c r="AM499" s="24"/>
      <c r="AN499" s="24"/>
      <c r="AO499" s="24"/>
      <c r="AP499" s="24"/>
      <c r="AQ499" s="24"/>
      <c r="AR499" s="24"/>
    </row>
    <row r="500" spans="1:44" x14ac:dyDescent="0.3">
      <c r="A500" s="24"/>
      <c r="B500" s="24"/>
      <c r="C500" s="24"/>
      <c r="D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c r="AC500" s="24"/>
      <c r="AD500" s="24"/>
      <c r="AE500" s="24"/>
      <c r="AF500" s="24"/>
      <c r="AG500" s="24"/>
      <c r="AH500" s="24"/>
      <c r="AI500" s="24"/>
      <c r="AJ500" s="24"/>
      <c r="AK500" s="24"/>
      <c r="AL500" s="24"/>
      <c r="AM500" s="24"/>
      <c r="AN500" s="24"/>
      <c r="AO500" s="24"/>
      <c r="AP500" s="24"/>
      <c r="AQ500" s="24"/>
      <c r="AR500" s="24"/>
    </row>
    <row r="501" spans="1:44" x14ac:dyDescent="0.3">
      <c r="A501" s="24"/>
      <c r="B501" s="24"/>
      <c r="C501" s="24"/>
      <c r="D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c r="AO501" s="24"/>
      <c r="AP501" s="24"/>
      <c r="AQ501" s="24"/>
      <c r="AR501" s="24"/>
    </row>
    <row r="502" spans="1:44" x14ac:dyDescent="0.3">
      <c r="A502" s="24"/>
      <c r="B502" s="24"/>
      <c r="C502" s="24"/>
      <c r="D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c r="AO502" s="24"/>
      <c r="AP502" s="24"/>
      <c r="AQ502" s="24"/>
      <c r="AR502" s="24"/>
    </row>
    <row r="503" spans="1:44" x14ac:dyDescent="0.3">
      <c r="A503" s="24"/>
      <c r="B503" s="24"/>
      <c r="C503" s="24"/>
      <c r="D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c r="AO503" s="24"/>
      <c r="AP503" s="24"/>
      <c r="AQ503" s="24"/>
      <c r="AR503" s="24"/>
    </row>
    <row r="504" spans="1:44" x14ac:dyDescent="0.3">
      <c r="A504" s="24"/>
      <c r="B504" s="24"/>
      <c r="C504" s="24"/>
      <c r="D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row>
    <row r="505" spans="1:44" x14ac:dyDescent="0.3">
      <c r="A505" s="24"/>
      <c r="B505" s="24"/>
      <c r="C505" s="24"/>
      <c r="D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row>
    <row r="506" spans="1:44" x14ac:dyDescent="0.3">
      <c r="A506" s="24"/>
      <c r="B506" s="24"/>
      <c r="C506" s="24"/>
      <c r="D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row>
    <row r="507" spans="1:44" x14ac:dyDescent="0.3">
      <c r="A507" s="24"/>
      <c r="B507" s="24"/>
      <c r="C507" s="24"/>
      <c r="D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row>
    <row r="508" spans="1:44" x14ac:dyDescent="0.3">
      <c r="A508" s="24"/>
      <c r="B508" s="24"/>
      <c r="C508" s="24"/>
      <c r="D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row>
    <row r="509" spans="1:44" x14ac:dyDescent="0.3">
      <c r="A509" s="24"/>
      <c r="B509" s="24"/>
      <c r="C509" s="24"/>
      <c r="D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c r="AO509" s="24"/>
      <c r="AP509" s="24"/>
      <c r="AQ509" s="24"/>
      <c r="AR509" s="24"/>
    </row>
    <row r="510" spans="1:44" x14ac:dyDescent="0.3">
      <c r="A510" s="24"/>
      <c r="B510" s="24"/>
      <c r="C510" s="24"/>
      <c r="D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c r="AO510" s="24"/>
      <c r="AP510" s="24"/>
      <c r="AQ510" s="24"/>
      <c r="AR510" s="24"/>
    </row>
    <row r="511" spans="1:44" x14ac:dyDescent="0.3">
      <c r="A511" s="24"/>
      <c r="B511" s="24"/>
      <c r="C511" s="24"/>
      <c r="D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c r="AO511" s="24"/>
      <c r="AP511" s="24"/>
      <c r="AQ511" s="24"/>
      <c r="AR511" s="24"/>
    </row>
    <row r="512" spans="1:44" x14ac:dyDescent="0.3">
      <c r="A512" s="24"/>
      <c r="B512" s="24"/>
      <c r="C512" s="24"/>
      <c r="D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c r="AO512" s="24"/>
      <c r="AP512" s="24"/>
      <c r="AQ512" s="24"/>
      <c r="AR512" s="24"/>
    </row>
    <row r="513" spans="1:44" x14ac:dyDescent="0.3">
      <c r="A513" s="24"/>
      <c r="B513" s="24"/>
      <c r="C513" s="24"/>
      <c r="D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c r="AO513" s="24"/>
      <c r="AP513" s="24"/>
      <c r="AQ513" s="24"/>
      <c r="AR513" s="24"/>
    </row>
    <row r="514" spans="1:44" x14ac:dyDescent="0.3">
      <c r="A514" s="24"/>
      <c r="B514" s="24"/>
      <c r="C514" s="24"/>
      <c r="D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c r="AO514" s="24"/>
      <c r="AP514" s="24"/>
      <c r="AQ514" s="24"/>
      <c r="AR514" s="24"/>
    </row>
    <row r="515" spans="1:44" x14ac:dyDescent="0.3">
      <c r="A515" s="24"/>
      <c r="B515" s="24"/>
      <c r="C515" s="24"/>
      <c r="D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c r="AO515" s="24"/>
      <c r="AP515" s="24"/>
      <c r="AQ515" s="24"/>
      <c r="AR515" s="24"/>
    </row>
    <row r="516" spans="1:44" x14ac:dyDescent="0.3">
      <c r="A516" s="24"/>
      <c r="B516" s="24"/>
      <c r="C516" s="24"/>
      <c r="D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c r="AC516" s="24"/>
      <c r="AD516" s="24"/>
      <c r="AE516" s="24"/>
      <c r="AF516" s="24"/>
      <c r="AG516" s="24"/>
      <c r="AH516" s="24"/>
      <c r="AI516" s="24"/>
      <c r="AJ516" s="24"/>
      <c r="AK516" s="24"/>
      <c r="AL516" s="24"/>
      <c r="AM516" s="24"/>
      <c r="AN516" s="24"/>
      <c r="AO516" s="24"/>
      <c r="AP516" s="24"/>
      <c r="AQ516" s="24"/>
      <c r="AR516" s="24"/>
    </row>
    <row r="517" spans="1:44" x14ac:dyDescent="0.3">
      <c r="A517" s="24"/>
      <c r="B517" s="24"/>
      <c r="C517" s="24"/>
      <c r="D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c r="AC517" s="24"/>
      <c r="AD517" s="24"/>
      <c r="AE517" s="24"/>
      <c r="AF517" s="24"/>
      <c r="AG517" s="24"/>
      <c r="AH517" s="24"/>
      <c r="AI517" s="24"/>
      <c r="AJ517" s="24"/>
      <c r="AK517" s="24"/>
      <c r="AL517" s="24"/>
      <c r="AM517" s="24"/>
      <c r="AN517" s="24"/>
      <c r="AO517" s="24"/>
      <c r="AP517" s="24"/>
      <c r="AQ517" s="24"/>
      <c r="AR517" s="24"/>
    </row>
    <row r="518" spans="1:44" x14ac:dyDescent="0.3">
      <c r="A518" s="24"/>
      <c r="B518" s="24"/>
      <c r="C518" s="24"/>
      <c r="D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c r="AC518" s="24"/>
      <c r="AD518" s="24"/>
      <c r="AE518" s="24"/>
      <c r="AF518" s="24"/>
      <c r="AG518" s="24"/>
      <c r="AH518" s="24"/>
      <c r="AI518" s="24"/>
      <c r="AJ518" s="24"/>
      <c r="AK518" s="24"/>
      <c r="AL518" s="24"/>
      <c r="AM518" s="24"/>
      <c r="AN518" s="24"/>
      <c r="AO518" s="24"/>
      <c r="AP518" s="24"/>
      <c r="AQ518" s="24"/>
      <c r="AR518" s="24"/>
    </row>
    <row r="519" spans="1:44" x14ac:dyDescent="0.3">
      <c r="A519" s="24"/>
      <c r="B519" s="24"/>
      <c r="C519" s="24"/>
      <c r="D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24"/>
      <c r="AH519" s="24"/>
      <c r="AI519" s="24"/>
      <c r="AJ519" s="24"/>
      <c r="AK519" s="24"/>
      <c r="AL519" s="24"/>
      <c r="AM519" s="24"/>
      <c r="AN519" s="24"/>
      <c r="AO519" s="24"/>
      <c r="AP519" s="24"/>
      <c r="AQ519" s="24"/>
      <c r="AR519" s="24"/>
    </row>
    <row r="520" spans="1:44" x14ac:dyDescent="0.3">
      <c r="A520" s="24"/>
      <c r="B520" s="24"/>
      <c r="C520" s="24"/>
      <c r="D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c r="AO520" s="24"/>
      <c r="AP520" s="24"/>
      <c r="AQ520" s="24"/>
      <c r="AR520" s="24"/>
    </row>
    <row r="521" spans="1:44" x14ac:dyDescent="0.3">
      <c r="A521" s="24"/>
      <c r="B521" s="24"/>
      <c r="C521" s="24"/>
      <c r="D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row>
    <row r="522" spans="1:44" x14ac:dyDescent="0.3">
      <c r="A522" s="24"/>
      <c r="B522" s="24"/>
      <c r="C522" s="24"/>
      <c r="D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row>
    <row r="523" spans="1:44" x14ac:dyDescent="0.3">
      <c r="A523" s="24"/>
      <c r="B523" s="24"/>
      <c r="C523" s="24"/>
      <c r="D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c r="AO523" s="24"/>
      <c r="AP523" s="24"/>
      <c r="AQ523" s="24"/>
      <c r="AR523" s="24"/>
    </row>
    <row r="524" spans="1:44" x14ac:dyDescent="0.3">
      <c r="A524" s="24"/>
      <c r="B524" s="24"/>
      <c r="C524" s="24"/>
      <c r="D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c r="AC524" s="24"/>
      <c r="AD524" s="24"/>
      <c r="AE524" s="24"/>
      <c r="AF524" s="24"/>
      <c r="AG524" s="24"/>
      <c r="AH524" s="24"/>
      <c r="AI524" s="24"/>
      <c r="AJ524" s="24"/>
      <c r="AK524" s="24"/>
      <c r="AL524" s="24"/>
      <c r="AM524" s="24"/>
      <c r="AN524" s="24"/>
      <c r="AO524" s="24"/>
      <c r="AP524" s="24"/>
      <c r="AQ524" s="24"/>
      <c r="AR524" s="24"/>
    </row>
    <row r="525" spans="1:44" x14ac:dyDescent="0.3">
      <c r="A525" s="24"/>
      <c r="B525" s="24"/>
      <c r="C525" s="24"/>
      <c r="D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c r="AC525" s="24"/>
      <c r="AD525" s="24"/>
      <c r="AE525" s="24"/>
      <c r="AF525" s="24"/>
      <c r="AG525" s="24"/>
      <c r="AH525" s="24"/>
      <c r="AI525" s="24"/>
      <c r="AJ525" s="24"/>
      <c r="AK525" s="24"/>
      <c r="AL525" s="24"/>
      <c r="AM525" s="24"/>
      <c r="AN525" s="24"/>
      <c r="AO525" s="24"/>
      <c r="AP525" s="24"/>
      <c r="AQ525" s="24"/>
      <c r="AR525" s="24"/>
    </row>
    <row r="526" spans="1:44" x14ac:dyDescent="0.3">
      <c r="A526" s="24"/>
      <c r="B526" s="24"/>
      <c r="C526" s="24"/>
      <c r="D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c r="AC526" s="24"/>
      <c r="AD526" s="24"/>
      <c r="AE526" s="24"/>
      <c r="AF526" s="24"/>
      <c r="AG526" s="24"/>
      <c r="AH526" s="24"/>
      <c r="AI526" s="24"/>
      <c r="AJ526" s="24"/>
      <c r="AK526" s="24"/>
      <c r="AL526" s="24"/>
      <c r="AM526" s="24"/>
      <c r="AN526" s="24"/>
      <c r="AO526" s="24"/>
      <c r="AP526" s="24"/>
      <c r="AQ526" s="24"/>
      <c r="AR526" s="24"/>
    </row>
    <row r="527" spans="1:44" x14ac:dyDescent="0.3">
      <c r="A527" s="24"/>
      <c r="B527" s="24"/>
      <c r="C527" s="24"/>
      <c r="D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c r="AC527" s="24"/>
      <c r="AD527" s="24"/>
      <c r="AE527" s="24"/>
      <c r="AF527" s="24"/>
      <c r="AG527" s="24"/>
      <c r="AH527" s="24"/>
      <c r="AI527" s="24"/>
      <c r="AJ527" s="24"/>
      <c r="AK527" s="24"/>
      <c r="AL527" s="24"/>
      <c r="AM527" s="24"/>
      <c r="AN527" s="24"/>
      <c r="AO527" s="24"/>
      <c r="AP527" s="24"/>
      <c r="AQ527" s="24"/>
      <c r="AR527" s="24"/>
    </row>
    <row r="528" spans="1:44" x14ac:dyDescent="0.3">
      <c r="A528" s="24"/>
      <c r="B528" s="24"/>
      <c r="C528" s="24"/>
      <c r="D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c r="AC528" s="24"/>
      <c r="AD528" s="24"/>
      <c r="AE528" s="24"/>
      <c r="AF528" s="24"/>
      <c r="AG528" s="24"/>
      <c r="AH528" s="24"/>
      <c r="AI528" s="24"/>
      <c r="AJ528" s="24"/>
      <c r="AK528" s="24"/>
      <c r="AL528" s="24"/>
      <c r="AM528" s="24"/>
      <c r="AN528" s="24"/>
      <c r="AO528" s="24"/>
      <c r="AP528" s="24"/>
      <c r="AQ528" s="24"/>
      <c r="AR528" s="24"/>
    </row>
    <row r="529" spans="1:44" x14ac:dyDescent="0.3">
      <c r="A529" s="24"/>
      <c r="B529" s="24"/>
      <c r="C529" s="24"/>
      <c r="D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c r="AC529" s="24"/>
      <c r="AD529" s="24"/>
      <c r="AE529" s="24"/>
      <c r="AF529" s="24"/>
      <c r="AG529" s="24"/>
      <c r="AH529" s="24"/>
      <c r="AI529" s="24"/>
      <c r="AJ529" s="24"/>
      <c r="AK529" s="24"/>
      <c r="AL529" s="24"/>
      <c r="AM529" s="24"/>
      <c r="AN529" s="24"/>
      <c r="AO529" s="24"/>
      <c r="AP529" s="24"/>
      <c r="AQ529" s="24"/>
      <c r="AR529" s="24"/>
    </row>
    <row r="530" spans="1:44" x14ac:dyDescent="0.3">
      <c r="A530" s="24"/>
      <c r="B530" s="24"/>
      <c r="C530" s="24"/>
      <c r="D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c r="AC530" s="24"/>
      <c r="AD530" s="24"/>
      <c r="AE530" s="24"/>
      <c r="AF530" s="24"/>
      <c r="AG530" s="24"/>
      <c r="AH530" s="24"/>
      <c r="AI530" s="24"/>
      <c r="AJ530" s="24"/>
      <c r="AK530" s="24"/>
      <c r="AL530" s="24"/>
      <c r="AM530" s="24"/>
      <c r="AN530" s="24"/>
      <c r="AO530" s="24"/>
      <c r="AP530" s="24"/>
      <c r="AQ530" s="24"/>
      <c r="AR530" s="24"/>
    </row>
    <row r="531" spans="1:44" x14ac:dyDescent="0.3">
      <c r="A531" s="24"/>
      <c r="B531" s="24"/>
      <c r="C531" s="24"/>
      <c r="D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c r="AC531" s="24"/>
      <c r="AD531" s="24"/>
      <c r="AE531" s="24"/>
      <c r="AF531" s="24"/>
      <c r="AG531" s="24"/>
      <c r="AH531" s="24"/>
      <c r="AI531" s="24"/>
      <c r="AJ531" s="24"/>
      <c r="AK531" s="24"/>
      <c r="AL531" s="24"/>
      <c r="AM531" s="24"/>
      <c r="AN531" s="24"/>
      <c r="AO531" s="24"/>
      <c r="AP531" s="24"/>
      <c r="AQ531" s="24"/>
      <c r="AR531" s="24"/>
    </row>
    <row r="532" spans="1:44" x14ac:dyDescent="0.3">
      <c r="A532" s="24"/>
      <c r="B532" s="24"/>
      <c r="C532" s="24"/>
      <c r="D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c r="AC532" s="24"/>
      <c r="AD532" s="24"/>
      <c r="AE532" s="24"/>
      <c r="AF532" s="24"/>
      <c r="AG532" s="24"/>
      <c r="AH532" s="24"/>
      <c r="AI532" s="24"/>
      <c r="AJ532" s="24"/>
      <c r="AK532" s="24"/>
      <c r="AL532" s="24"/>
      <c r="AM532" s="24"/>
      <c r="AN532" s="24"/>
      <c r="AO532" s="24"/>
      <c r="AP532" s="24"/>
      <c r="AQ532" s="24"/>
      <c r="AR532" s="24"/>
    </row>
    <row r="533" spans="1:44" x14ac:dyDescent="0.3">
      <c r="A533" s="24"/>
      <c r="B533" s="24"/>
      <c r="C533" s="24"/>
      <c r="D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c r="AC533" s="24"/>
      <c r="AD533" s="24"/>
      <c r="AE533" s="24"/>
      <c r="AF533" s="24"/>
      <c r="AG533" s="24"/>
      <c r="AH533" s="24"/>
      <c r="AI533" s="24"/>
      <c r="AJ533" s="24"/>
      <c r="AK533" s="24"/>
      <c r="AL533" s="24"/>
      <c r="AM533" s="24"/>
      <c r="AN533" s="24"/>
      <c r="AO533" s="24"/>
      <c r="AP533" s="24"/>
      <c r="AQ533" s="24"/>
      <c r="AR533" s="24"/>
    </row>
    <row r="534" spans="1:44" x14ac:dyDescent="0.3">
      <c r="A534" s="24"/>
      <c r="B534" s="24"/>
      <c r="C534" s="24"/>
      <c r="D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c r="AR534" s="24"/>
    </row>
    <row r="535" spans="1:44" x14ac:dyDescent="0.3">
      <c r="A535" s="24"/>
      <c r="B535" s="24"/>
      <c r="C535" s="24"/>
      <c r="D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c r="AR535" s="24"/>
    </row>
    <row r="536" spans="1:44" x14ac:dyDescent="0.3">
      <c r="A536" s="24"/>
      <c r="B536" s="24"/>
      <c r="C536" s="24"/>
      <c r="D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c r="AR536" s="24"/>
    </row>
    <row r="537" spans="1:44" x14ac:dyDescent="0.3">
      <c r="A537" s="24"/>
      <c r="B537" s="24"/>
      <c r="C537" s="24"/>
      <c r="D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c r="AR537" s="24"/>
    </row>
    <row r="538" spans="1:44" x14ac:dyDescent="0.3">
      <c r="A538" s="24"/>
      <c r="B538" s="24"/>
      <c r="C538" s="24"/>
      <c r="D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c r="AR538" s="24"/>
    </row>
    <row r="539" spans="1:44" x14ac:dyDescent="0.3">
      <c r="A539" s="24"/>
      <c r="B539" s="24"/>
      <c r="C539" s="24"/>
      <c r="D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c r="AC539" s="24"/>
      <c r="AD539" s="24"/>
      <c r="AE539" s="24"/>
      <c r="AF539" s="24"/>
      <c r="AG539" s="24"/>
      <c r="AH539" s="24"/>
      <c r="AI539" s="24"/>
      <c r="AJ539" s="24"/>
      <c r="AK539" s="24"/>
      <c r="AL539" s="24"/>
      <c r="AM539" s="24"/>
      <c r="AN539" s="24"/>
      <c r="AO539" s="24"/>
      <c r="AP539" s="24"/>
      <c r="AQ539" s="24"/>
      <c r="AR539" s="24"/>
    </row>
    <row r="540" spans="1:44" x14ac:dyDescent="0.3">
      <c r="A540" s="24"/>
      <c r="B540" s="24"/>
      <c r="C540" s="24"/>
      <c r="D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c r="AC540" s="24"/>
      <c r="AD540" s="24"/>
      <c r="AE540" s="24"/>
      <c r="AF540" s="24"/>
      <c r="AG540" s="24"/>
      <c r="AH540" s="24"/>
      <c r="AI540" s="24"/>
      <c r="AJ540" s="24"/>
      <c r="AK540" s="24"/>
      <c r="AL540" s="24"/>
      <c r="AM540" s="24"/>
      <c r="AN540" s="24"/>
      <c r="AO540" s="24"/>
      <c r="AP540" s="24"/>
      <c r="AQ540" s="24"/>
      <c r="AR540" s="24"/>
    </row>
    <row r="541" spans="1:44" x14ac:dyDescent="0.3">
      <c r="A541" s="24"/>
      <c r="B541" s="24"/>
      <c r="C541" s="24"/>
      <c r="D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c r="AC541" s="24"/>
      <c r="AD541" s="24"/>
      <c r="AE541" s="24"/>
      <c r="AF541" s="24"/>
      <c r="AG541" s="24"/>
      <c r="AH541" s="24"/>
      <c r="AI541" s="24"/>
      <c r="AJ541" s="24"/>
      <c r="AK541" s="24"/>
      <c r="AL541" s="24"/>
      <c r="AM541" s="24"/>
      <c r="AN541" s="24"/>
      <c r="AO541" s="24"/>
      <c r="AP541" s="24"/>
      <c r="AQ541" s="24"/>
      <c r="AR541" s="24"/>
    </row>
    <row r="542" spans="1:44" x14ac:dyDescent="0.3">
      <c r="A542" s="24"/>
      <c r="B542" s="24"/>
      <c r="C542" s="24"/>
      <c r="D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c r="AC542" s="24"/>
      <c r="AD542" s="24"/>
      <c r="AE542" s="24"/>
      <c r="AF542" s="24"/>
      <c r="AG542" s="24"/>
      <c r="AH542" s="24"/>
      <c r="AI542" s="24"/>
      <c r="AJ542" s="24"/>
      <c r="AK542" s="24"/>
      <c r="AL542" s="24"/>
      <c r="AM542" s="24"/>
      <c r="AN542" s="24"/>
      <c r="AO542" s="24"/>
      <c r="AP542" s="24"/>
      <c r="AQ542" s="24"/>
      <c r="AR542" s="24"/>
    </row>
    <row r="543" spans="1:44" x14ac:dyDescent="0.3">
      <c r="A543" s="24"/>
      <c r="B543" s="24"/>
      <c r="C543" s="24"/>
      <c r="D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c r="AC543" s="24"/>
      <c r="AD543" s="24"/>
      <c r="AE543" s="24"/>
      <c r="AF543" s="24"/>
      <c r="AG543" s="24"/>
      <c r="AH543" s="24"/>
      <c r="AI543" s="24"/>
      <c r="AJ543" s="24"/>
      <c r="AK543" s="24"/>
      <c r="AL543" s="24"/>
      <c r="AM543" s="24"/>
      <c r="AN543" s="24"/>
      <c r="AO543" s="24"/>
      <c r="AP543" s="24"/>
      <c r="AQ543" s="24"/>
      <c r="AR543" s="24"/>
    </row>
    <row r="544" spans="1:44" x14ac:dyDescent="0.3">
      <c r="A544" s="24"/>
      <c r="B544" s="24"/>
      <c r="C544" s="24"/>
      <c r="D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c r="AC544" s="24"/>
      <c r="AD544" s="24"/>
      <c r="AE544" s="24"/>
      <c r="AF544" s="24"/>
      <c r="AG544" s="24"/>
      <c r="AH544" s="24"/>
      <c r="AI544" s="24"/>
      <c r="AJ544" s="24"/>
      <c r="AK544" s="24"/>
      <c r="AL544" s="24"/>
      <c r="AM544" s="24"/>
      <c r="AN544" s="24"/>
      <c r="AO544" s="24"/>
      <c r="AP544" s="24"/>
      <c r="AQ544" s="24"/>
      <c r="AR544" s="24"/>
    </row>
    <row r="545" spans="1:44" x14ac:dyDescent="0.3">
      <c r="A545" s="24"/>
      <c r="B545" s="24"/>
      <c r="C545" s="24"/>
      <c r="D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c r="AC545" s="24"/>
      <c r="AD545" s="24"/>
      <c r="AE545" s="24"/>
      <c r="AF545" s="24"/>
      <c r="AG545" s="24"/>
      <c r="AH545" s="24"/>
      <c r="AI545" s="24"/>
      <c r="AJ545" s="24"/>
      <c r="AK545" s="24"/>
      <c r="AL545" s="24"/>
      <c r="AM545" s="24"/>
      <c r="AN545" s="24"/>
      <c r="AO545" s="24"/>
      <c r="AP545" s="24"/>
      <c r="AQ545" s="24"/>
      <c r="AR545" s="24"/>
    </row>
    <row r="546" spans="1:44" x14ac:dyDescent="0.3">
      <c r="A546" s="24"/>
      <c r="B546" s="24"/>
      <c r="C546" s="24"/>
      <c r="D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c r="AC546" s="24"/>
      <c r="AD546" s="24"/>
      <c r="AE546" s="24"/>
      <c r="AF546" s="24"/>
      <c r="AG546" s="24"/>
      <c r="AH546" s="24"/>
      <c r="AI546" s="24"/>
      <c r="AJ546" s="24"/>
      <c r="AK546" s="24"/>
      <c r="AL546" s="24"/>
      <c r="AM546" s="24"/>
      <c r="AN546" s="24"/>
      <c r="AO546" s="24"/>
      <c r="AP546" s="24"/>
      <c r="AQ546" s="24"/>
      <c r="AR546" s="24"/>
    </row>
    <row r="547" spans="1:44" x14ac:dyDescent="0.3">
      <c r="A547" s="24"/>
      <c r="B547" s="24"/>
      <c r="C547" s="24"/>
      <c r="D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c r="AC547" s="24"/>
      <c r="AD547" s="24"/>
      <c r="AE547" s="24"/>
      <c r="AF547" s="24"/>
      <c r="AG547" s="24"/>
      <c r="AH547" s="24"/>
      <c r="AI547" s="24"/>
      <c r="AJ547" s="24"/>
      <c r="AK547" s="24"/>
      <c r="AL547" s="24"/>
      <c r="AM547" s="24"/>
      <c r="AN547" s="24"/>
      <c r="AO547" s="24"/>
      <c r="AP547" s="24"/>
      <c r="AQ547" s="24"/>
      <c r="AR547" s="24"/>
    </row>
    <row r="548" spans="1:44" x14ac:dyDescent="0.3">
      <c r="A548" s="24"/>
      <c r="B548" s="24"/>
      <c r="C548" s="24"/>
      <c r="D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c r="AC548" s="24"/>
      <c r="AD548" s="24"/>
      <c r="AE548" s="24"/>
      <c r="AF548" s="24"/>
      <c r="AG548" s="24"/>
      <c r="AH548" s="24"/>
      <c r="AI548" s="24"/>
      <c r="AJ548" s="24"/>
      <c r="AK548" s="24"/>
      <c r="AL548" s="24"/>
      <c r="AM548" s="24"/>
      <c r="AN548" s="24"/>
      <c r="AO548" s="24"/>
      <c r="AP548" s="24"/>
      <c r="AQ548" s="24"/>
      <c r="AR548" s="24"/>
    </row>
    <row r="549" spans="1:44" x14ac:dyDescent="0.3">
      <c r="A549" s="24"/>
      <c r="B549" s="24"/>
      <c r="C549" s="24"/>
      <c r="D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24"/>
      <c r="AH549" s="24"/>
      <c r="AI549" s="24"/>
      <c r="AJ549" s="24"/>
      <c r="AK549" s="24"/>
      <c r="AL549" s="24"/>
      <c r="AM549" s="24"/>
      <c r="AN549" s="24"/>
      <c r="AO549" s="24"/>
      <c r="AP549" s="24"/>
      <c r="AQ549" s="24"/>
      <c r="AR549" s="24"/>
    </row>
    <row r="550" spans="1:44" x14ac:dyDescent="0.3">
      <c r="A550" s="24"/>
      <c r="B550" s="24"/>
      <c r="C550" s="24"/>
      <c r="D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24"/>
      <c r="AH550" s="24"/>
      <c r="AI550" s="24"/>
      <c r="AJ550" s="24"/>
      <c r="AK550" s="24"/>
      <c r="AL550" s="24"/>
      <c r="AM550" s="24"/>
      <c r="AN550" s="24"/>
      <c r="AO550" s="24"/>
      <c r="AP550" s="24"/>
      <c r="AQ550" s="24"/>
      <c r="AR550" s="24"/>
    </row>
    <row r="551" spans="1:44" x14ac:dyDescent="0.3">
      <c r="A551" s="24"/>
      <c r="B551" s="24"/>
      <c r="C551" s="24"/>
      <c r="D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24"/>
      <c r="AH551" s="24"/>
      <c r="AI551" s="24"/>
      <c r="AJ551" s="24"/>
      <c r="AK551" s="24"/>
      <c r="AL551" s="24"/>
      <c r="AM551" s="24"/>
      <c r="AN551" s="24"/>
      <c r="AO551" s="24"/>
      <c r="AP551" s="24"/>
      <c r="AQ551" s="24"/>
      <c r="AR551" s="24"/>
    </row>
    <row r="552" spans="1:44" x14ac:dyDescent="0.3">
      <c r="A552" s="24"/>
      <c r="B552" s="24"/>
      <c r="C552" s="24"/>
      <c r="D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24"/>
      <c r="AH552" s="24"/>
      <c r="AI552" s="24"/>
      <c r="AJ552" s="24"/>
      <c r="AK552" s="24"/>
      <c r="AL552" s="24"/>
      <c r="AM552" s="24"/>
      <c r="AN552" s="24"/>
      <c r="AO552" s="24"/>
      <c r="AP552" s="24"/>
      <c r="AQ552" s="24"/>
      <c r="AR552" s="24"/>
    </row>
    <row r="553" spans="1:44" x14ac:dyDescent="0.3">
      <c r="A553" s="24"/>
      <c r="B553" s="24"/>
      <c r="C553" s="24"/>
      <c r="D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M553" s="24"/>
      <c r="AN553" s="24"/>
      <c r="AO553" s="24"/>
      <c r="AP553" s="24"/>
      <c r="AQ553" s="24"/>
      <c r="AR553" s="24"/>
    </row>
    <row r="554" spans="1:44" x14ac:dyDescent="0.3">
      <c r="A554" s="24"/>
      <c r="B554" s="24"/>
      <c r="C554" s="24"/>
      <c r="D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c r="AC554" s="24"/>
      <c r="AD554" s="24"/>
      <c r="AE554" s="24"/>
      <c r="AF554" s="24"/>
      <c r="AG554" s="24"/>
      <c r="AH554" s="24"/>
      <c r="AI554" s="24"/>
      <c r="AJ554" s="24"/>
      <c r="AK554" s="24"/>
      <c r="AL554" s="24"/>
      <c r="AM554" s="24"/>
      <c r="AN554" s="24"/>
      <c r="AO554" s="24"/>
      <c r="AP554" s="24"/>
      <c r="AQ554" s="24"/>
      <c r="AR554" s="24"/>
    </row>
    <row r="555" spans="1:44" x14ac:dyDescent="0.3">
      <c r="A555" s="24"/>
      <c r="B555" s="24"/>
      <c r="C555" s="24"/>
      <c r="D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c r="AC555" s="24"/>
      <c r="AD555" s="24"/>
      <c r="AE555" s="24"/>
      <c r="AF555" s="24"/>
      <c r="AG555" s="24"/>
      <c r="AH555" s="24"/>
      <c r="AI555" s="24"/>
      <c r="AJ555" s="24"/>
      <c r="AK555" s="24"/>
      <c r="AL555" s="24"/>
      <c r="AM555" s="24"/>
      <c r="AN555" s="24"/>
      <c r="AO555" s="24"/>
      <c r="AP555" s="24"/>
      <c r="AQ555" s="24"/>
      <c r="AR555" s="24"/>
    </row>
    <row r="556" spans="1:44" x14ac:dyDescent="0.3">
      <c r="A556" s="24"/>
      <c r="B556" s="24"/>
      <c r="C556" s="24"/>
      <c r="D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c r="AC556" s="24"/>
      <c r="AD556" s="24"/>
      <c r="AE556" s="24"/>
      <c r="AF556" s="24"/>
      <c r="AG556" s="24"/>
      <c r="AH556" s="24"/>
      <c r="AI556" s="24"/>
      <c r="AJ556" s="24"/>
      <c r="AK556" s="24"/>
      <c r="AL556" s="24"/>
      <c r="AM556" s="24"/>
      <c r="AN556" s="24"/>
      <c r="AO556" s="24"/>
      <c r="AP556" s="24"/>
      <c r="AQ556" s="24"/>
      <c r="AR556" s="24"/>
    </row>
    <row r="557" spans="1:44" x14ac:dyDescent="0.3">
      <c r="A557" s="24"/>
      <c r="B557" s="24"/>
      <c r="C557" s="24"/>
      <c r="D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c r="AC557" s="24"/>
      <c r="AD557" s="24"/>
      <c r="AE557" s="24"/>
      <c r="AF557" s="24"/>
      <c r="AG557" s="24"/>
      <c r="AH557" s="24"/>
      <c r="AI557" s="24"/>
      <c r="AJ557" s="24"/>
      <c r="AK557" s="24"/>
      <c r="AL557" s="24"/>
      <c r="AM557" s="24"/>
      <c r="AN557" s="24"/>
      <c r="AO557" s="24"/>
      <c r="AP557" s="24"/>
      <c r="AQ557" s="24"/>
      <c r="AR557" s="24"/>
    </row>
    <row r="558" spans="1:44" x14ac:dyDescent="0.3">
      <c r="A558" s="24"/>
      <c r="B558" s="24"/>
      <c r="C558" s="24"/>
      <c r="D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c r="AC558" s="24"/>
      <c r="AD558" s="24"/>
      <c r="AE558" s="24"/>
      <c r="AF558" s="24"/>
      <c r="AG558" s="24"/>
      <c r="AH558" s="24"/>
      <c r="AI558" s="24"/>
      <c r="AJ558" s="24"/>
      <c r="AK558" s="24"/>
      <c r="AL558" s="24"/>
      <c r="AM558" s="24"/>
      <c r="AN558" s="24"/>
      <c r="AO558" s="24"/>
      <c r="AP558" s="24"/>
      <c r="AQ558" s="24"/>
      <c r="AR558" s="24"/>
    </row>
    <row r="559" spans="1:44" x14ac:dyDescent="0.3">
      <c r="A559" s="24"/>
      <c r="B559" s="24"/>
      <c r="C559" s="24"/>
      <c r="D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c r="AC559" s="24"/>
      <c r="AD559" s="24"/>
      <c r="AE559" s="24"/>
      <c r="AF559" s="24"/>
      <c r="AG559" s="24"/>
      <c r="AH559" s="24"/>
      <c r="AI559" s="24"/>
      <c r="AJ559" s="24"/>
      <c r="AK559" s="24"/>
      <c r="AL559" s="24"/>
      <c r="AM559" s="24"/>
      <c r="AN559" s="24"/>
      <c r="AO559" s="24"/>
      <c r="AP559" s="24"/>
      <c r="AQ559" s="24"/>
      <c r="AR559" s="24"/>
    </row>
    <row r="560" spans="1:44" x14ac:dyDescent="0.3">
      <c r="A560" s="24"/>
      <c r="B560" s="24"/>
      <c r="C560" s="24"/>
      <c r="D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c r="AC560" s="24"/>
      <c r="AD560" s="24"/>
      <c r="AE560" s="24"/>
      <c r="AF560" s="24"/>
      <c r="AG560" s="24"/>
      <c r="AH560" s="24"/>
      <c r="AI560" s="24"/>
      <c r="AJ560" s="24"/>
      <c r="AK560" s="24"/>
      <c r="AL560" s="24"/>
      <c r="AM560" s="24"/>
      <c r="AN560" s="24"/>
      <c r="AO560" s="24"/>
      <c r="AP560" s="24"/>
      <c r="AQ560" s="24"/>
      <c r="AR560" s="24"/>
    </row>
    <row r="561" spans="1:44" x14ac:dyDescent="0.3">
      <c r="A561" s="24"/>
      <c r="B561" s="24"/>
      <c r="C561" s="24"/>
      <c r="D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c r="AC561" s="24"/>
      <c r="AD561" s="24"/>
      <c r="AE561" s="24"/>
      <c r="AF561" s="24"/>
      <c r="AG561" s="24"/>
      <c r="AH561" s="24"/>
      <c r="AI561" s="24"/>
      <c r="AJ561" s="24"/>
      <c r="AK561" s="24"/>
      <c r="AL561" s="24"/>
      <c r="AM561" s="24"/>
      <c r="AN561" s="24"/>
      <c r="AO561" s="24"/>
      <c r="AP561" s="24"/>
      <c r="AQ561" s="24"/>
      <c r="AR561" s="24"/>
    </row>
    <row r="562" spans="1:44" x14ac:dyDescent="0.3">
      <c r="A562" s="24"/>
      <c r="B562" s="24"/>
      <c r="C562" s="24"/>
      <c r="D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c r="AC562" s="24"/>
      <c r="AD562" s="24"/>
      <c r="AE562" s="24"/>
      <c r="AF562" s="24"/>
      <c r="AG562" s="24"/>
      <c r="AH562" s="24"/>
      <c r="AI562" s="24"/>
      <c r="AJ562" s="24"/>
      <c r="AK562" s="24"/>
      <c r="AL562" s="24"/>
      <c r="AM562" s="24"/>
      <c r="AN562" s="24"/>
      <c r="AO562" s="24"/>
      <c r="AP562" s="24"/>
      <c r="AQ562" s="24"/>
      <c r="AR562" s="24"/>
    </row>
    <row r="563" spans="1:44" x14ac:dyDescent="0.3">
      <c r="A563" s="24"/>
      <c r="B563" s="24"/>
      <c r="C563" s="24"/>
      <c r="D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c r="AC563" s="24"/>
      <c r="AD563" s="24"/>
      <c r="AE563" s="24"/>
      <c r="AF563" s="24"/>
      <c r="AG563" s="24"/>
      <c r="AH563" s="24"/>
      <c r="AI563" s="24"/>
      <c r="AJ563" s="24"/>
      <c r="AK563" s="24"/>
      <c r="AL563" s="24"/>
      <c r="AM563" s="24"/>
      <c r="AN563" s="24"/>
      <c r="AO563" s="24"/>
      <c r="AP563" s="24"/>
      <c r="AQ563" s="24"/>
      <c r="AR563" s="24"/>
    </row>
    <row r="564" spans="1:44" x14ac:dyDescent="0.3">
      <c r="A564" s="24"/>
      <c r="B564" s="24"/>
      <c r="C564" s="24"/>
      <c r="D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c r="AC564" s="24"/>
      <c r="AD564" s="24"/>
      <c r="AE564" s="24"/>
      <c r="AF564" s="24"/>
      <c r="AG564" s="24"/>
      <c r="AH564" s="24"/>
      <c r="AI564" s="24"/>
      <c r="AJ564" s="24"/>
      <c r="AK564" s="24"/>
      <c r="AL564" s="24"/>
      <c r="AM564" s="24"/>
      <c r="AN564" s="24"/>
      <c r="AO564" s="24"/>
      <c r="AP564" s="24"/>
      <c r="AQ564" s="24"/>
      <c r="AR564" s="24"/>
    </row>
    <row r="565" spans="1:44" x14ac:dyDescent="0.3">
      <c r="A565" s="24"/>
      <c r="B565" s="24"/>
      <c r="C565" s="24"/>
      <c r="D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c r="AC565" s="24"/>
      <c r="AD565" s="24"/>
      <c r="AE565" s="24"/>
      <c r="AF565" s="24"/>
      <c r="AG565" s="24"/>
      <c r="AH565" s="24"/>
      <c r="AI565" s="24"/>
      <c r="AJ565" s="24"/>
      <c r="AK565" s="24"/>
      <c r="AL565" s="24"/>
      <c r="AM565" s="24"/>
      <c r="AN565" s="24"/>
      <c r="AO565" s="24"/>
      <c r="AP565" s="24"/>
      <c r="AQ565" s="24"/>
      <c r="AR565" s="24"/>
    </row>
    <row r="566" spans="1:44" x14ac:dyDescent="0.3">
      <c r="A566" s="24"/>
      <c r="B566" s="24"/>
      <c r="C566" s="24"/>
      <c r="D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c r="AC566" s="24"/>
      <c r="AD566" s="24"/>
      <c r="AE566" s="24"/>
      <c r="AF566" s="24"/>
      <c r="AG566" s="24"/>
      <c r="AH566" s="24"/>
      <c r="AI566" s="24"/>
      <c r="AJ566" s="24"/>
      <c r="AK566" s="24"/>
      <c r="AL566" s="24"/>
      <c r="AM566" s="24"/>
      <c r="AN566" s="24"/>
      <c r="AO566" s="24"/>
      <c r="AP566" s="24"/>
      <c r="AQ566" s="24"/>
      <c r="AR566" s="24"/>
    </row>
    <row r="567" spans="1:44" x14ac:dyDescent="0.3">
      <c r="A567" s="24"/>
      <c r="B567" s="24"/>
      <c r="C567" s="24"/>
      <c r="D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c r="AC567" s="24"/>
      <c r="AD567" s="24"/>
      <c r="AE567" s="24"/>
      <c r="AF567" s="24"/>
      <c r="AG567" s="24"/>
      <c r="AH567" s="24"/>
      <c r="AI567" s="24"/>
      <c r="AJ567" s="24"/>
      <c r="AK567" s="24"/>
      <c r="AL567" s="24"/>
      <c r="AM567" s="24"/>
      <c r="AN567" s="24"/>
      <c r="AO567" s="24"/>
      <c r="AP567" s="24"/>
      <c r="AQ567" s="24"/>
      <c r="AR567" s="24"/>
    </row>
    <row r="568" spans="1:44" x14ac:dyDescent="0.3">
      <c r="A568" s="24"/>
      <c r="B568" s="24"/>
      <c r="C568" s="24"/>
      <c r="D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c r="AC568" s="24"/>
      <c r="AD568" s="24"/>
      <c r="AE568" s="24"/>
      <c r="AF568" s="24"/>
      <c r="AG568" s="24"/>
      <c r="AH568" s="24"/>
      <c r="AI568" s="24"/>
      <c r="AJ568" s="24"/>
      <c r="AK568" s="24"/>
      <c r="AL568" s="24"/>
      <c r="AM568" s="24"/>
      <c r="AN568" s="24"/>
      <c r="AO568" s="24"/>
      <c r="AP568" s="24"/>
      <c r="AQ568" s="24"/>
      <c r="AR568" s="24"/>
    </row>
    <row r="569" spans="1:44" x14ac:dyDescent="0.3">
      <c r="A569" s="24"/>
      <c r="B569" s="24"/>
      <c r="C569" s="24"/>
      <c r="D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c r="AC569" s="24"/>
      <c r="AD569" s="24"/>
      <c r="AE569" s="24"/>
      <c r="AF569" s="24"/>
      <c r="AG569" s="24"/>
      <c r="AH569" s="24"/>
      <c r="AI569" s="24"/>
      <c r="AJ569" s="24"/>
      <c r="AK569" s="24"/>
      <c r="AL569" s="24"/>
      <c r="AM569" s="24"/>
      <c r="AN569" s="24"/>
      <c r="AO569" s="24"/>
      <c r="AP569" s="24"/>
      <c r="AQ569" s="24"/>
      <c r="AR569" s="24"/>
    </row>
    <row r="570" spans="1:44" x14ac:dyDescent="0.3">
      <c r="A570" s="24"/>
      <c r="B570" s="24"/>
      <c r="C570" s="24"/>
      <c r="D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c r="AC570" s="24"/>
      <c r="AD570" s="24"/>
      <c r="AE570" s="24"/>
      <c r="AF570" s="24"/>
      <c r="AG570" s="24"/>
      <c r="AH570" s="24"/>
      <c r="AI570" s="24"/>
      <c r="AJ570" s="24"/>
      <c r="AK570" s="24"/>
      <c r="AL570" s="24"/>
      <c r="AM570" s="24"/>
      <c r="AN570" s="24"/>
      <c r="AO570" s="24"/>
      <c r="AP570" s="24"/>
      <c r="AQ570" s="24"/>
      <c r="AR570" s="24"/>
    </row>
    <row r="571" spans="1:44" x14ac:dyDescent="0.3">
      <c r="A571" s="24"/>
      <c r="B571" s="24"/>
      <c r="C571" s="24"/>
      <c r="D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c r="AC571" s="24"/>
      <c r="AD571" s="24"/>
      <c r="AE571" s="24"/>
      <c r="AF571" s="24"/>
      <c r="AG571" s="24"/>
      <c r="AH571" s="24"/>
      <c r="AI571" s="24"/>
      <c r="AJ571" s="24"/>
      <c r="AK571" s="24"/>
      <c r="AL571" s="24"/>
      <c r="AM571" s="24"/>
      <c r="AN571" s="24"/>
      <c r="AO571" s="24"/>
      <c r="AP571" s="24"/>
      <c r="AQ571" s="24"/>
      <c r="AR571" s="24"/>
    </row>
    <row r="572" spans="1:44" x14ac:dyDescent="0.3">
      <c r="A572" s="24"/>
      <c r="B572" s="24"/>
      <c r="C572" s="24"/>
      <c r="D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c r="AC572" s="24"/>
      <c r="AD572" s="24"/>
      <c r="AE572" s="24"/>
      <c r="AF572" s="24"/>
      <c r="AG572" s="24"/>
      <c r="AH572" s="24"/>
      <c r="AI572" s="24"/>
      <c r="AJ572" s="24"/>
      <c r="AK572" s="24"/>
      <c r="AL572" s="24"/>
      <c r="AM572" s="24"/>
      <c r="AN572" s="24"/>
      <c r="AO572" s="24"/>
      <c r="AP572" s="24"/>
      <c r="AQ572" s="24"/>
      <c r="AR572" s="24"/>
    </row>
    <row r="573" spans="1:44" x14ac:dyDescent="0.3">
      <c r="A573" s="24"/>
      <c r="B573" s="24"/>
      <c r="C573" s="24"/>
      <c r="D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c r="AC573" s="24"/>
      <c r="AD573" s="24"/>
      <c r="AE573" s="24"/>
      <c r="AF573" s="24"/>
      <c r="AG573" s="24"/>
      <c r="AH573" s="24"/>
      <c r="AI573" s="24"/>
      <c r="AJ573" s="24"/>
      <c r="AK573" s="24"/>
      <c r="AL573" s="24"/>
      <c r="AM573" s="24"/>
      <c r="AN573" s="24"/>
      <c r="AO573" s="24"/>
      <c r="AP573" s="24"/>
      <c r="AQ573" s="24"/>
      <c r="AR573" s="24"/>
    </row>
    <row r="574" spans="1:44" x14ac:dyDescent="0.3">
      <c r="A574" s="24"/>
      <c r="B574" s="24"/>
      <c r="C574" s="24"/>
      <c r="D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c r="AC574" s="24"/>
      <c r="AD574" s="24"/>
      <c r="AE574" s="24"/>
      <c r="AF574" s="24"/>
      <c r="AG574" s="24"/>
      <c r="AH574" s="24"/>
      <c r="AI574" s="24"/>
      <c r="AJ574" s="24"/>
      <c r="AK574" s="24"/>
      <c r="AL574" s="24"/>
      <c r="AM574" s="24"/>
      <c r="AN574" s="24"/>
      <c r="AO574" s="24"/>
      <c r="AP574" s="24"/>
      <c r="AQ574" s="24"/>
      <c r="AR574" s="24"/>
    </row>
    <row r="575" spans="1:44" x14ac:dyDescent="0.3">
      <c r="A575" s="24"/>
      <c r="B575" s="24"/>
      <c r="C575" s="24"/>
      <c r="D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c r="AC575" s="24"/>
      <c r="AD575" s="24"/>
      <c r="AE575" s="24"/>
      <c r="AF575" s="24"/>
      <c r="AG575" s="24"/>
      <c r="AH575" s="24"/>
      <c r="AI575" s="24"/>
      <c r="AJ575" s="24"/>
      <c r="AK575" s="24"/>
      <c r="AL575" s="24"/>
      <c r="AM575" s="24"/>
      <c r="AN575" s="24"/>
      <c r="AO575" s="24"/>
      <c r="AP575" s="24"/>
      <c r="AQ575" s="24"/>
      <c r="AR575" s="24"/>
    </row>
    <row r="576" spans="1:44" x14ac:dyDescent="0.3">
      <c r="A576" s="24"/>
      <c r="B576" s="24"/>
      <c r="C576" s="24"/>
      <c r="D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c r="AN576" s="24"/>
      <c r="AO576" s="24"/>
      <c r="AP576" s="24"/>
      <c r="AQ576" s="24"/>
      <c r="AR576" s="24"/>
    </row>
    <row r="577" spans="1:44" x14ac:dyDescent="0.3">
      <c r="A577" s="24"/>
      <c r="B577" s="24"/>
      <c r="C577" s="24"/>
      <c r="D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row>
    <row r="578" spans="1:44" x14ac:dyDescent="0.3">
      <c r="A578" s="24"/>
      <c r="B578" s="24"/>
      <c r="C578" s="24"/>
      <c r="D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c r="AN578" s="24"/>
      <c r="AO578" s="24"/>
      <c r="AP578" s="24"/>
      <c r="AQ578" s="24"/>
      <c r="AR578" s="24"/>
    </row>
    <row r="579" spans="1:44" x14ac:dyDescent="0.3">
      <c r="A579" s="24"/>
      <c r="B579" s="24"/>
      <c r="C579" s="24"/>
      <c r="D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c r="AN579" s="24"/>
      <c r="AO579" s="24"/>
      <c r="AP579" s="24"/>
      <c r="AQ579" s="24"/>
      <c r="AR579" s="24"/>
    </row>
    <row r="580" spans="1:44" x14ac:dyDescent="0.3">
      <c r="A580" s="24"/>
      <c r="B580" s="24"/>
      <c r="C580" s="24"/>
      <c r="D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c r="AN580" s="24"/>
      <c r="AO580" s="24"/>
      <c r="AP580" s="24"/>
      <c r="AQ580" s="24"/>
      <c r="AR580" s="24"/>
    </row>
    <row r="581" spans="1:44" x14ac:dyDescent="0.3">
      <c r="A581" s="24"/>
      <c r="B581" s="24"/>
      <c r="C581" s="24"/>
      <c r="D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c r="AN581" s="24"/>
      <c r="AO581" s="24"/>
      <c r="AP581" s="24"/>
      <c r="AQ581" s="24"/>
      <c r="AR581" s="24"/>
    </row>
    <row r="582" spans="1:44" x14ac:dyDescent="0.3">
      <c r="A582" s="24"/>
      <c r="B582" s="24"/>
      <c r="C582" s="24"/>
      <c r="D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c r="AN582" s="24"/>
      <c r="AO582" s="24"/>
      <c r="AP582" s="24"/>
      <c r="AQ582" s="24"/>
      <c r="AR582" s="24"/>
    </row>
    <row r="583" spans="1:44" x14ac:dyDescent="0.3">
      <c r="A583" s="24"/>
      <c r="B583" s="24"/>
      <c r="C583" s="24"/>
      <c r="D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c r="AC583" s="24"/>
      <c r="AD583" s="24"/>
      <c r="AE583" s="24"/>
      <c r="AF583" s="24"/>
      <c r="AG583" s="24"/>
      <c r="AH583" s="24"/>
      <c r="AI583" s="24"/>
      <c r="AJ583" s="24"/>
      <c r="AK583" s="24"/>
      <c r="AL583" s="24"/>
      <c r="AM583" s="24"/>
      <c r="AN583" s="24"/>
      <c r="AO583" s="24"/>
      <c r="AP583" s="24"/>
      <c r="AQ583" s="24"/>
      <c r="AR583" s="24"/>
    </row>
    <row r="584" spans="1:44" x14ac:dyDescent="0.3">
      <c r="A584" s="24"/>
      <c r="B584" s="24"/>
      <c r="C584" s="24"/>
      <c r="D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c r="AC584" s="24"/>
      <c r="AD584" s="24"/>
      <c r="AE584" s="24"/>
      <c r="AF584" s="24"/>
      <c r="AG584" s="24"/>
      <c r="AH584" s="24"/>
      <c r="AI584" s="24"/>
      <c r="AJ584" s="24"/>
      <c r="AK584" s="24"/>
      <c r="AL584" s="24"/>
      <c r="AM584" s="24"/>
      <c r="AN584" s="24"/>
      <c r="AO584" s="24"/>
      <c r="AP584" s="24"/>
      <c r="AQ584" s="24"/>
      <c r="AR584" s="24"/>
    </row>
    <row r="585" spans="1:44" x14ac:dyDescent="0.3">
      <c r="A585" s="24"/>
      <c r="B585" s="24"/>
      <c r="C585" s="24"/>
      <c r="D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c r="AC585" s="24"/>
      <c r="AD585" s="24"/>
      <c r="AE585" s="24"/>
      <c r="AF585" s="24"/>
      <c r="AG585" s="24"/>
      <c r="AH585" s="24"/>
      <c r="AI585" s="24"/>
      <c r="AJ585" s="24"/>
      <c r="AK585" s="24"/>
      <c r="AL585" s="24"/>
      <c r="AM585" s="24"/>
      <c r="AN585" s="24"/>
      <c r="AO585" s="24"/>
      <c r="AP585" s="24"/>
      <c r="AQ585" s="24"/>
      <c r="AR585" s="24"/>
    </row>
    <row r="586" spans="1:44" x14ac:dyDescent="0.3">
      <c r="A586" s="24"/>
      <c r="B586" s="24"/>
      <c r="C586" s="24"/>
      <c r="D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c r="AC586" s="24"/>
      <c r="AD586" s="24"/>
      <c r="AE586" s="24"/>
      <c r="AF586" s="24"/>
      <c r="AG586" s="24"/>
      <c r="AH586" s="24"/>
      <c r="AI586" s="24"/>
      <c r="AJ586" s="24"/>
      <c r="AK586" s="24"/>
      <c r="AL586" s="24"/>
      <c r="AM586" s="24"/>
      <c r="AN586" s="24"/>
      <c r="AO586" s="24"/>
      <c r="AP586" s="24"/>
      <c r="AQ586" s="24"/>
      <c r="AR586" s="24"/>
    </row>
    <row r="587" spans="1:44" x14ac:dyDescent="0.3">
      <c r="A587" s="24"/>
      <c r="B587" s="24"/>
      <c r="C587" s="24"/>
      <c r="D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c r="AC587" s="24"/>
      <c r="AD587" s="24"/>
      <c r="AE587" s="24"/>
      <c r="AF587" s="24"/>
      <c r="AG587" s="24"/>
      <c r="AH587" s="24"/>
      <c r="AI587" s="24"/>
      <c r="AJ587" s="24"/>
      <c r="AK587" s="24"/>
      <c r="AL587" s="24"/>
      <c r="AM587" s="24"/>
      <c r="AN587" s="24"/>
      <c r="AO587" s="24"/>
      <c r="AP587" s="24"/>
      <c r="AQ587" s="24"/>
      <c r="AR587" s="24"/>
    </row>
    <row r="588" spans="1:44" x14ac:dyDescent="0.3">
      <c r="A588" s="24"/>
      <c r="B588" s="24"/>
      <c r="C588" s="24"/>
      <c r="D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c r="AC588" s="24"/>
      <c r="AD588" s="24"/>
      <c r="AE588" s="24"/>
      <c r="AF588" s="24"/>
      <c r="AG588" s="24"/>
      <c r="AH588" s="24"/>
      <c r="AI588" s="24"/>
      <c r="AJ588" s="24"/>
      <c r="AK588" s="24"/>
      <c r="AL588" s="24"/>
      <c r="AM588" s="24"/>
      <c r="AN588" s="24"/>
      <c r="AO588" s="24"/>
      <c r="AP588" s="24"/>
      <c r="AQ588" s="24"/>
      <c r="AR588" s="24"/>
    </row>
    <row r="589" spans="1:44" x14ac:dyDescent="0.3">
      <c r="A589" s="24"/>
      <c r="B589" s="24"/>
      <c r="C589" s="24"/>
      <c r="D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c r="AC589" s="24"/>
      <c r="AD589" s="24"/>
      <c r="AE589" s="24"/>
      <c r="AF589" s="24"/>
      <c r="AG589" s="24"/>
      <c r="AH589" s="24"/>
      <c r="AI589" s="24"/>
      <c r="AJ589" s="24"/>
      <c r="AK589" s="24"/>
      <c r="AL589" s="24"/>
      <c r="AM589" s="24"/>
      <c r="AN589" s="24"/>
      <c r="AO589" s="24"/>
      <c r="AP589" s="24"/>
      <c r="AQ589" s="24"/>
      <c r="AR589" s="24"/>
    </row>
    <row r="590" spans="1:44" x14ac:dyDescent="0.3">
      <c r="A590" s="24"/>
      <c r="B590" s="24"/>
      <c r="C590" s="24"/>
      <c r="D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c r="AC590" s="24"/>
      <c r="AD590" s="24"/>
      <c r="AE590" s="24"/>
      <c r="AF590" s="24"/>
      <c r="AG590" s="24"/>
      <c r="AH590" s="24"/>
      <c r="AI590" s="24"/>
      <c r="AJ590" s="24"/>
      <c r="AK590" s="24"/>
      <c r="AL590" s="24"/>
      <c r="AM590" s="24"/>
      <c r="AN590" s="24"/>
      <c r="AO590" s="24"/>
      <c r="AP590" s="24"/>
      <c r="AQ590" s="24"/>
      <c r="AR590" s="24"/>
    </row>
    <row r="591" spans="1:44" x14ac:dyDescent="0.3">
      <c r="A591" s="24"/>
      <c r="B591" s="24"/>
      <c r="C591" s="24"/>
      <c r="D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c r="AC591" s="24"/>
      <c r="AD591" s="24"/>
      <c r="AE591" s="24"/>
      <c r="AF591" s="24"/>
      <c r="AG591" s="24"/>
      <c r="AH591" s="24"/>
      <c r="AI591" s="24"/>
      <c r="AJ591" s="24"/>
      <c r="AK591" s="24"/>
      <c r="AL591" s="24"/>
      <c r="AM591" s="24"/>
      <c r="AN591" s="24"/>
      <c r="AO591" s="24"/>
      <c r="AP591" s="24"/>
      <c r="AQ591" s="24"/>
      <c r="AR591" s="24"/>
    </row>
    <row r="592" spans="1:44" x14ac:dyDescent="0.3">
      <c r="A592" s="24"/>
      <c r="B592" s="24"/>
      <c r="C592" s="24"/>
      <c r="D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c r="AC592" s="24"/>
      <c r="AD592" s="24"/>
      <c r="AE592" s="24"/>
      <c r="AF592" s="24"/>
      <c r="AG592" s="24"/>
      <c r="AH592" s="24"/>
      <c r="AI592" s="24"/>
      <c r="AJ592" s="24"/>
      <c r="AK592" s="24"/>
      <c r="AL592" s="24"/>
      <c r="AM592" s="24"/>
      <c r="AN592" s="24"/>
      <c r="AO592" s="24"/>
      <c r="AP592" s="24"/>
      <c r="AQ592" s="24"/>
      <c r="AR592" s="24"/>
    </row>
    <row r="593" spans="1:44" x14ac:dyDescent="0.3">
      <c r="A593" s="24"/>
      <c r="B593" s="24"/>
      <c r="C593" s="24"/>
      <c r="D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c r="AC593" s="24"/>
      <c r="AD593" s="24"/>
      <c r="AE593" s="24"/>
      <c r="AF593" s="24"/>
      <c r="AG593" s="24"/>
      <c r="AH593" s="24"/>
      <c r="AI593" s="24"/>
      <c r="AJ593" s="24"/>
      <c r="AK593" s="24"/>
      <c r="AL593" s="24"/>
      <c r="AM593" s="24"/>
      <c r="AN593" s="24"/>
      <c r="AO593" s="24"/>
      <c r="AP593" s="24"/>
      <c r="AQ593" s="24"/>
      <c r="AR593" s="24"/>
    </row>
    <row r="594" spans="1:44" x14ac:dyDescent="0.3">
      <c r="A594" s="24"/>
      <c r="B594" s="24"/>
      <c r="C594" s="24"/>
      <c r="D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c r="AC594" s="24"/>
      <c r="AD594" s="24"/>
      <c r="AE594" s="24"/>
      <c r="AF594" s="24"/>
      <c r="AG594" s="24"/>
      <c r="AH594" s="24"/>
      <c r="AI594" s="24"/>
      <c r="AJ594" s="24"/>
      <c r="AK594" s="24"/>
      <c r="AL594" s="24"/>
      <c r="AM594" s="24"/>
      <c r="AN594" s="24"/>
      <c r="AO594" s="24"/>
      <c r="AP594" s="24"/>
      <c r="AQ594" s="24"/>
      <c r="AR594" s="24"/>
    </row>
    <row r="595" spans="1:44" x14ac:dyDescent="0.3">
      <c r="A595" s="24"/>
      <c r="B595" s="24"/>
      <c r="C595" s="24"/>
      <c r="D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c r="AC595" s="24"/>
      <c r="AD595" s="24"/>
      <c r="AE595" s="24"/>
      <c r="AF595" s="24"/>
      <c r="AG595" s="24"/>
      <c r="AH595" s="24"/>
      <c r="AI595" s="24"/>
      <c r="AJ595" s="24"/>
      <c r="AK595" s="24"/>
      <c r="AL595" s="24"/>
      <c r="AM595" s="24"/>
      <c r="AN595" s="24"/>
      <c r="AO595" s="24"/>
      <c r="AP595" s="24"/>
      <c r="AQ595" s="24"/>
      <c r="AR595" s="24"/>
    </row>
    <row r="596" spans="1:44" x14ac:dyDescent="0.3">
      <c r="A596" s="24"/>
      <c r="B596" s="24"/>
      <c r="C596" s="24"/>
      <c r="D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c r="AC596" s="24"/>
      <c r="AD596" s="24"/>
      <c r="AE596" s="24"/>
      <c r="AF596" s="24"/>
      <c r="AG596" s="24"/>
      <c r="AH596" s="24"/>
      <c r="AI596" s="24"/>
      <c r="AJ596" s="24"/>
      <c r="AK596" s="24"/>
      <c r="AL596" s="24"/>
      <c r="AM596" s="24"/>
      <c r="AN596" s="24"/>
      <c r="AO596" s="24"/>
      <c r="AP596" s="24"/>
      <c r="AQ596" s="24"/>
      <c r="AR596" s="24"/>
    </row>
    <row r="597" spans="1:44" x14ac:dyDescent="0.3">
      <c r="A597" s="24"/>
      <c r="B597" s="24"/>
      <c r="C597" s="24"/>
      <c r="D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c r="AC597" s="24"/>
      <c r="AD597" s="24"/>
      <c r="AE597" s="24"/>
      <c r="AF597" s="24"/>
      <c r="AG597" s="24"/>
      <c r="AH597" s="24"/>
      <c r="AI597" s="24"/>
      <c r="AJ597" s="24"/>
      <c r="AK597" s="24"/>
      <c r="AL597" s="24"/>
      <c r="AM597" s="24"/>
      <c r="AN597" s="24"/>
      <c r="AO597" s="24"/>
      <c r="AP597" s="24"/>
      <c r="AQ597" s="24"/>
      <c r="AR597" s="24"/>
    </row>
    <row r="598" spans="1:44" x14ac:dyDescent="0.3">
      <c r="A598" s="24"/>
      <c r="B598" s="24"/>
      <c r="C598" s="24"/>
      <c r="D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c r="AC598" s="24"/>
      <c r="AD598" s="24"/>
      <c r="AE598" s="24"/>
      <c r="AF598" s="24"/>
      <c r="AG598" s="24"/>
      <c r="AH598" s="24"/>
      <c r="AI598" s="24"/>
      <c r="AJ598" s="24"/>
      <c r="AK598" s="24"/>
      <c r="AL598" s="24"/>
      <c r="AM598" s="24"/>
      <c r="AN598" s="24"/>
      <c r="AO598" s="24"/>
      <c r="AP598" s="24"/>
      <c r="AQ598" s="24"/>
      <c r="AR598" s="24"/>
    </row>
    <row r="599" spans="1:44" x14ac:dyDescent="0.3">
      <c r="A599" s="24"/>
      <c r="B599" s="24"/>
      <c r="C599" s="24"/>
      <c r="D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c r="AC599" s="24"/>
      <c r="AD599" s="24"/>
      <c r="AE599" s="24"/>
      <c r="AF599" s="24"/>
      <c r="AG599" s="24"/>
      <c r="AH599" s="24"/>
      <c r="AI599" s="24"/>
      <c r="AJ599" s="24"/>
      <c r="AK599" s="24"/>
      <c r="AL599" s="24"/>
      <c r="AM599" s="24"/>
      <c r="AN599" s="24"/>
      <c r="AO599" s="24"/>
      <c r="AP599" s="24"/>
      <c r="AQ599" s="24"/>
      <c r="AR599" s="24"/>
    </row>
    <row r="600" spans="1:44" x14ac:dyDescent="0.3">
      <c r="A600" s="24"/>
      <c r="B600" s="24"/>
      <c r="C600" s="24"/>
      <c r="D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c r="AC600" s="24"/>
      <c r="AD600" s="24"/>
      <c r="AE600" s="24"/>
      <c r="AF600" s="24"/>
      <c r="AG600" s="24"/>
      <c r="AH600" s="24"/>
      <c r="AI600" s="24"/>
      <c r="AJ600" s="24"/>
      <c r="AK600" s="24"/>
      <c r="AL600" s="24"/>
      <c r="AM600" s="24"/>
      <c r="AN600" s="24"/>
      <c r="AO600" s="24"/>
      <c r="AP600" s="24"/>
      <c r="AQ600" s="24"/>
      <c r="AR600" s="24"/>
    </row>
    <row r="601" spans="1:44" x14ac:dyDescent="0.3">
      <c r="A601" s="24"/>
      <c r="B601" s="24"/>
      <c r="C601" s="24"/>
      <c r="D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c r="AC601" s="24"/>
      <c r="AD601" s="24"/>
      <c r="AE601" s="24"/>
      <c r="AF601" s="24"/>
      <c r="AG601" s="24"/>
      <c r="AH601" s="24"/>
      <c r="AI601" s="24"/>
      <c r="AJ601" s="24"/>
      <c r="AK601" s="24"/>
      <c r="AL601" s="24"/>
      <c r="AM601" s="24"/>
      <c r="AN601" s="24"/>
      <c r="AO601" s="24"/>
      <c r="AP601" s="24"/>
      <c r="AQ601" s="24"/>
      <c r="AR601" s="24"/>
    </row>
    <row r="602" spans="1:44" x14ac:dyDescent="0.3">
      <c r="A602" s="24"/>
      <c r="B602" s="24"/>
      <c r="C602" s="24"/>
      <c r="D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c r="AC602" s="24"/>
      <c r="AD602" s="24"/>
      <c r="AE602" s="24"/>
      <c r="AF602" s="24"/>
      <c r="AG602" s="24"/>
      <c r="AH602" s="24"/>
      <c r="AI602" s="24"/>
      <c r="AJ602" s="24"/>
      <c r="AK602" s="24"/>
      <c r="AL602" s="24"/>
      <c r="AM602" s="24"/>
      <c r="AN602" s="24"/>
      <c r="AO602" s="24"/>
      <c r="AP602" s="24"/>
      <c r="AQ602" s="24"/>
      <c r="AR602" s="24"/>
    </row>
    <row r="603" spans="1:44" x14ac:dyDescent="0.3">
      <c r="A603" s="24"/>
      <c r="B603" s="24"/>
      <c r="C603" s="24"/>
      <c r="D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c r="AC603" s="24"/>
      <c r="AD603" s="24"/>
      <c r="AE603" s="24"/>
      <c r="AF603" s="24"/>
      <c r="AG603" s="24"/>
      <c r="AH603" s="24"/>
      <c r="AI603" s="24"/>
      <c r="AJ603" s="24"/>
      <c r="AK603" s="24"/>
      <c r="AL603" s="24"/>
      <c r="AM603" s="24"/>
      <c r="AN603" s="24"/>
      <c r="AO603" s="24"/>
      <c r="AP603" s="24"/>
      <c r="AQ603" s="24"/>
      <c r="AR603" s="24"/>
    </row>
    <row r="604" spans="1:44" x14ac:dyDescent="0.3">
      <c r="A604" s="24"/>
      <c r="B604" s="24"/>
      <c r="C604" s="24"/>
      <c r="D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c r="AC604" s="24"/>
      <c r="AD604" s="24"/>
      <c r="AE604" s="24"/>
      <c r="AF604" s="24"/>
      <c r="AG604" s="24"/>
      <c r="AH604" s="24"/>
      <c r="AI604" s="24"/>
      <c r="AJ604" s="24"/>
      <c r="AK604" s="24"/>
      <c r="AL604" s="24"/>
      <c r="AM604" s="24"/>
      <c r="AN604" s="24"/>
      <c r="AO604" s="24"/>
      <c r="AP604" s="24"/>
      <c r="AQ604" s="24"/>
      <c r="AR604" s="24"/>
    </row>
    <row r="605" spans="1:44" x14ac:dyDescent="0.3">
      <c r="A605" s="24"/>
      <c r="B605" s="24"/>
      <c r="C605" s="24"/>
      <c r="D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c r="AN605" s="24"/>
      <c r="AO605" s="24"/>
      <c r="AP605" s="24"/>
      <c r="AQ605" s="24"/>
      <c r="AR605" s="24"/>
    </row>
    <row r="606" spans="1:44" x14ac:dyDescent="0.3">
      <c r="A606" s="24"/>
      <c r="B606" s="24"/>
      <c r="C606" s="24"/>
      <c r="D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c r="AC606" s="24"/>
      <c r="AD606" s="24"/>
      <c r="AE606" s="24"/>
      <c r="AF606" s="24"/>
      <c r="AG606" s="24"/>
      <c r="AH606" s="24"/>
      <c r="AI606" s="24"/>
      <c r="AJ606" s="24"/>
      <c r="AK606" s="24"/>
      <c r="AL606" s="24"/>
      <c r="AM606" s="24"/>
      <c r="AN606" s="24"/>
      <c r="AO606" s="24"/>
      <c r="AP606" s="24"/>
      <c r="AQ606" s="24"/>
      <c r="AR606" s="24"/>
    </row>
    <row r="607" spans="1:44" x14ac:dyDescent="0.3">
      <c r="A607" s="24"/>
      <c r="B607" s="24"/>
      <c r="C607" s="24"/>
      <c r="D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c r="AN607" s="24"/>
      <c r="AO607" s="24"/>
      <c r="AP607" s="24"/>
      <c r="AQ607" s="24"/>
      <c r="AR607" s="24"/>
    </row>
    <row r="608" spans="1:44" x14ac:dyDescent="0.3">
      <c r="A608" s="24"/>
      <c r="B608" s="24"/>
      <c r="C608" s="24"/>
      <c r="D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c r="AN608" s="24"/>
      <c r="AO608" s="24"/>
      <c r="AP608" s="24"/>
      <c r="AQ608" s="24"/>
      <c r="AR608" s="24"/>
    </row>
    <row r="609" spans="1:44" x14ac:dyDescent="0.3">
      <c r="A609" s="24"/>
      <c r="B609" s="24"/>
      <c r="C609" s="24"/>
      <c r="D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c r="AN609" s="24"/>
      <c r="AO609" s="24"/>
      <c r="AP609" s="24"/>
      <c r="AQ609" s="24"/>
      <c r="AR609" s="24"/>
    </row>
    <row r="610" spans="1:44" x14ac:dyDescent="0.3">
      <c r="A610" s="24"/>
      <c r="B610" s="24"/>
      <c r="C610" s="24"/>
      <c r="D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c r="AN610" s="24"/>
      <c r="AO610" s="24"/>
      <c r="AP610" s="24"/>
      <c r="AQ610" s="24"/>
      <c r="AR610" s="24"/>
    </row>
    <row r="611" spans="1:44" x14ac:dyDescent="0.3">
      <c r="A611" s="24"/>
      <c r="B611" s="24"/>
      <c r="C611" s="24"/>
      <c r="D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c r="AN611" s="24"/>
      <c r="AO611" s="24"/>
      <c r="AP611" s="24"/>
      <c r="AQ611" s="24"/>
      <c r="AR611" s="24"/>
    </row>
    <row r="612" spans="1:44" x14ac:dyDescent="0.3">
      <c r="A612" s="24"/>
      <c r="B612" s="24"/>
      <c r="C612" s="24"/>
      <c r="D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c r="AC612" s="24"/>
      <c r="AD612" s="24"/>
      <c r="AE612" s="24"/>
      <c r="AF612" s="24"/>
      <c r="AG612" s="24"/>
      <c r="AH612" s="24"/>
      <c r="AI612" s="24"/>
      <c r="AJ612" s="24"/>
      <c r="AK612" s="24"/>
      <c r="AL612" s="24"/>
      <c r="AM612" s="24"/>
      <c r="AN612" s="24"/>
      <c r="AO612" s="24"/>
      <c r="AP612" s="24"/>
      <c r="AQ612" s="24"/>
      <c r="AR612" s="24"/>
    </row>
    <row r="613" spans="1:44" x14ac:dyDescent="0.3">
      <c r="A613" s="24"/>
      <c r="B613" s="24"/>
      <c r="C613" s="24"/>
      <c r="D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c r="AC613" s="24"/>
      <c r="AD613" s="24"/>
      <c r="AE613" s="24"/>
      <c r="AF613" s="24"/>
      <c r="AG613" s="24"/>
      <c r="AH613" s="24"/>
      <c r="AI613" s="24"/>
      <c r="AJ613" s="24"/>
      <c r="AK613" s="24"/>
      <c r="AL613" s="24"/>
      <c r="AM613" s="24"/>
      <c r="AN613" s="24"/>
      <c r="AO613" s="24"/>
      <c r="AP613" s="24"/>
      <c r="AQ613" s="24"/>
      <c r="AR613" s="24"/>
    </row>
    <row r="614" spans="1:44" x14ac:dyDescent="0.3">
      <c r="A614" s="24"/>
      <c r="B614" s="24"/>
      <c r="C614" s="24"/>
      <c r="D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c r="AC614" s="24"/>
      <c r="AD614" s="24"/>
      <c r="AE614" s="24"/>
      <c r="AF614" s="24"/>
      <c r="AG614" s="24"/>
      <c r="AH614" s="24"/>
      <c r="AI614" s="24"/>
      <c r="AJ614" s="24"/>
      <c r="AK614" s="24"/>
      <c r="AL614" s="24"/>
      <c r="AM614" s="24"/>
      <c r="AN614" s="24"/>
      <c r="AO614" s="24"/>
      <c r="AP614" s="24"/>
      <c r="AQ614" s="24"/>
      <c r="AR614" s="24"/>
    </row>
    <row r="615" spans="1:44" x14ac:dyDescent="0.3">
      <c r="A615" s="24"/>
      <c r="B615" s="24"/>
      <c r="C615" s="24"/>
      <c r="D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c r="AC615" s="24"/>
      <c r="AD615" s="24"/>
      <c r="AE615" s="24"/>
      <c r="AF615" s="24"/>
      <c r="AG615" s="24"/>
      <c r="AH615" s="24"/>
      <c r="AI615" s="24"/>
      <c r="AJ615" s="24"/>
      <c r="AK615" s="24"/>
      <c r="AL615" s="24"/>
      <c r="AM615" s="24"/>
      <c r="AN615" s="24"/>
      <c r="AO615" s="24"/>
      <c r="AP615" s="24"/>
      <c r="AQ615" s="24"/>
      <c r="AR615" s="24"/>
    </row>
    <row r="616" spans="1:44" x14ac:dyDescent="0.3">
      <c r="A616" s="24"/>
      <c r="B616" s="24"/>
      <c r="C616" s="24"/>
      <c r="D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c r="AC616" s="24"/>
      <c r="AD616" s="24"/>
      <c r="AE616" s="24"/>
      <c r="AF616" s="24"/>
      <c r="AG616" s="24"/>
      <c r="AH616" s="24"/>
      <c r="AI616" s="24"/>
      <c r="AJ616" s="24"/>
      <c r="AK616" s="24"/>
      <c r="AL616" s="24"/>
      <c r="AM616" s="24"/>
      <c r="AN616" s="24"/>
      <c r="AO616" s="24"/>
      <c r="AP616" s="24"/>
      <c r="AQ616" s="24"/>
      <c r="AR616" s="24"/>
    </row>
    <row r="617" spans="1:44" x14ac:dyDescent="0.3">
      <c r="A617" s="24"/>
      <c r="B617" s="24"/>
      <c r="C617" s="24"/>
      <c r="D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c r="AC617" s="24"/>
      <c r="AD617" s="24"/>
      <c r="AE617" s="24"/>
      <c r="AF617" s="24"/>
      <c r="AG617" s="24"/>
      <c r="AH617" s="24"/>
      <c r="AI617" s="24"/>
      <c r="AJ617" s="24"/>
      <c r="AK617" s="24"/>
      <c r="AL617" s="24"/>
      <c r="AM617" s="24"/>
      <c r="AN617" s="24"/>
      <c r="AO617" s="24"/>
      <c r="AP617" s="24"/>
      <c r="AQ617" s="24"/>
      <c r="AR617" s="24"/>
    </row>
    <row r="618" spans="1:44" x14ac:dyDescent="0.3">
      <c r="A618" s="24"/>
      <c r="B618" s="24"/>
      <c r="C618" s="24"/>
      <c r="D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c r="AC618" s="24"/>
      <c r="AD618" s="24"/>
      <c r="AE618" s="24"/>
      <c r="AF618" s="24"/>
      <c r="AG618" s="24"/>
      <c r="AH618" s="24"/>
      <c r="AI618" s="24"/>
      <c r="AJ618" s="24"/>
      <c r="AK618" s="24"/>
      <c r="AL618" s="24"/>
      <c r="AM618" s="24"/>
      <c r="AN618" s="24"/>
      <c r="AO618" s="24"/>
      <c r="AP618" s="24"/>
      <c r="AQ618" s="24"/>
      <c r="AR618" s="24"/>
    </row>
    <row r="619" spans="1:44" x14ac:dyDescent="0.3">
      <c r="A619" s="24"/>
      <c r="B619" s="24"/>
      <c r="C619" s="24"/>
      <c r="D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c r="AC619" s="24"/>
      <c r="AD619" s="24"/>
      <c r="AE619" s="24"/>
      <c r="AF619" s="24"/>
      <c r="AG619" s="24"/>
      <c r="AH619" s="24"/>
      <c r="AI619" s="24"/>
      <c r="AJ619" s="24"/>
      <c r="AK619" s="24"/>
      <c r="AL619" s="24"/>
      <c r="AM619" s="24"/>
      <c r="AN619" s="24"/>
      <c r="AO619" s="24"/>
      <c r="AP619" s="24"/>
      <c r="AQ619" s="24"/>
      <c r="AR619" s="24"/>
    </row>
    <row r="620" spans="1:44" x14ac:dyDescent="0.3">
      <c r="A620" s="24"/>
      <c r="B620" s="24"/>
      <c r="C620" s="24"/>
      <c r="D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c r="AC620" s="24"/>
      <c r="AD620" s="24"/>
      <c r="AE620" s="24"/>
      <c r="AF620" s="24"/>
      <c r="AG620" s="24"/>
      <c r="AH620" s="24"/>
      <c r="AI620" s="24"/>
      <c r="AJ620" s="24"/>
      <c r="AK620" s="24"/>
      <c r="AL620" s="24"/>
      <c r="AM620" s="24"/>
      <c r="AN620" s="24"/>
      <c r="AO620" s="24"/>
      <c r="AP620" s="24"/>
      <c r="AQ620" s="24"/>
      <c r="AR620" s="24"/>
    </row>
    <row r="621" spans="1:44" x14ac:dyDescent="0.3">
      <c r="A621" s="24"/>
      <c r="B621" s="24"/>
      <c r="C621" s="24"/>
      <c r="D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c r="AC621" s="24"/>
      <c r="AD621" s="24"/>
      <c r="AE621" s="24"/>
      <c r="AF621" s="24"/>
      <c r="AG621" s="24"/>
      <c r="AH621" s="24"/>
      <c r="AI621" s="24"/>
      <c r="AJ621" s="24"/>
      <c r="AK621" s="24"/>
      <c r="AL621" s="24"/>
      <c r="AM621" s="24"/>
      <c r="AN621" s="24"/>
      <c r="AO621" s="24"/>
      <c r="AP621" s="24"/>
      <c r="AQ621" s="24"/>
      <c r="AR621" s="24"/>
    </row>
    <row r="622" spans="1:44" x14ac:dyDescent="0.3">
      <c r="A622" s="24"/>
      <c r="B622" s="24"/>
      <c r="C622" s="24"/>
      <c r="D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c r="AC622" s="24"/>
      <c r="AD622" s="24"/>
      <c r="AE622" s="24"/>
      <c r="AF622" s="24"/>
      <c r="AG622" s="24"/>
      <c r="AH622" s="24"/>
      <c r="AI622" s="24"/>
      <c r="AJ622" s="24"/>
      <c r="AK622" s="24"/>
      <c r="AL622" s="24"/>
      <c r="AM622" s="24"/>
      <c r="AN622" s="24"/>
      <c r="AO622" s="24"/>
      <c r="AP622" s="24"/>
      <c r="AQ622" s="24"/>
      <c r="AR622" s="24"/>
    </row>
    <row r="623" spans="1:44" x14ac:dyDescent="0.3">
      <c r="A623" s="24"/>
      <c r="B623" s="24"/>
      <c r="C623" s="24"/>
      <c r="D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c r="AC623" s="24"/>
      <c r="AD623" s="24"/>
      <c r="AE623" s="24"/>
      <c r="AF623" s="24"/>
      <c r="AG623" s="24"/>
      <c r="AH623" s="24"/>
      <c r="AI623" s="24"/>
      <c r="AJ623" s="24"/>
      <c r="AK623" s="24"/>
      <c r="AL623" s="24"/>
      <c r="AM623" s="24"/>
      <c r="AN623" s="24"/>
      <c r="AO623" s="24"/>
      <c r="AP623" s="24"/>
      <c r="AQ623" s="24"/>
      <c r="AR623" s="24"/>
    </row>
    <row r="624" spans="1:44" x14ac:dyDescent="0.3">
      <c r="A624" s="24"/>
      <c r="B624" s="24"/>
      <c r="C624" s="24"/>
      <c r="D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c r="AC624" s="24"/>
      <c r="AD624" s="24"/>
      <c r="AE624" s="24"/>
      <c r="AF624" s="24"/>
      <c r="AG624" s="24"/>
      <c r="AH624" s="24"/>
      <c r="AI624" s="24"/>
      <c r="AJ624" s="24"/>
      <c r="AK624" s="24"/>
      <c r="AL624" s="24"/>
      <c r="AM624" s="24"/>
      <c r="AN624" s="24"/>
      <c r="AO624" s="24"/>
      <c r="AP624" s="24"/>
      <c r="AQ624" s="24"/>
      <c r="AR624" s="24"/>
    </row>
  </sheetData>
  <mergeCells count="65">
    <mergeCell ref="C404:K404"/>
    <mergeCell ref="C405:K405"/>
    <mergeCell ref="C95:F95"/>
    <mergeCell ref="C82:F82"/>
    <mergeCell ref="C83:F83"/>
    <mergeCell ref="C85:F85"/>
    <mergeCell ref="C86:F86"/>
    <mergeCell ref="C94:F94"/>
    <mergeCell ref="C89:F89"/>
    <mergeCell ref="C91:F91"/>
    <mergeCell ref="C88:F88"/>
    <mergeCell ref="C57:F57"/>
    <mergeCell ref="C55:F55"/>
    <mergeCell ref="C56:F56"/>
    <mergeCell ref="C93:F93"/>
    <mergeCell ref="C90:F90"/>
    <mergeCell ref="C76:F76"/>
    <mergeCell ref="C77:F77"/>
    <mergeCell ref="C78:F78"/>
    <mergeCell ref="C79:F79"/>
    <mergeCell ref="C92:F92"/>
    <mergeCell ref="C68:F68"/>
    <mergeCell ref="C69:F69"/>
    <mergeCell ref="C70:F70"/>
    <mergeCell ref="C71:F71"/>
    <mergeCell ref="C58:F58"/>
    <mergeCell ref="C59:F59"/>
    <mergeCell ref="C60:F60"/>
    <mergeCell ref="C67:F67"/>
    <mergeCell ref="C61:F61"/>
    <mergeCell ref="C64:F64"/>
    <mergeCell ref="C65:F65"/>
    <mergeCell ref="C66:F66"/>
    <mergeCell ref="C62:F62"/>
    <mergeCell ref="C63:F63"/>
    <mergeCell ref="C48:F48"/>
    <mergeCell ref="C52:F52"/>
    <mergeCell ref="C53:F53"/>
    <mergeCell ref="C54:F54"/>
    <mergeCell ref="C49:F49"/>
    <mergeCell ref="C50:F50"/>
    <mergeCell ref="C51:F51"/>
    <mergeCell ref="A1:I1"/>
    <mergeCell ref="B27:C27"/>
    <mergeCell ref="B39:C39"/>
    <mergeCell ref="C47:F47"/>
    <mergeCell ref="C46:F46"/>
    <mergeCell ref="B43:C43"/>
    <mergeCell ref="C80:F80"/>
    <mergeCell ref="C81:F81"/>
    <mergeCell ref="C84:F84"/>
    <mergeCell ref="C87:F87"/>
    <mergeCell ref="C72:F72"/>
    <mergeCell ref="C74:F74"/>
    <mergeCell ref="C73:F73"/>
    <mergeCell ref="C75:F75"/>
    <mergeCell ref="C409:F409"/>
    <mergeCell ref="C410:F410"/>
    <mergeCell ref="C411:F411"/>
    <mergeCell ref="C412:F412"/>
    <mergeCell ref="C417:F417"/>
    <mergeCell ref="C413:F413"/>
    <mergeCell ref="C414:F414"/>
    <mergeCell ref="C415:F415"/>
    <mergeCell ref="C416:F416"/>
  </mergeCells>
  <phoneticPr fontId="3" type="noConversion"/>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ACA2"/>
  </sheetPr>
  <dimension ref="B4:E9"/>
  <sheetViews>
    <sheetView showGridLines="0" showRowColHeaders="0" zoomScaleNormal="100" workbookViewId="0">
      <selection activeCell="E22" sqref="E22"/>
    </sheetView>
  </sheetViews>
  <sheetFormatPr defaultColWidth="9.109375" defaultRowHeight="13.2" x14ac:dyDescent="0.25"/>
  <cols>
    <col min="1" max="1" width="8.5546875" customWidth="1"/>
    <col min="2" max="2" width="24.33203125" bestFit="1" customWidth="1"/>
    <col min="3" max="3" width="16.33203125" bestFit="1" customWidth="1"/>
    <col min="4" max="4" width="48.6640625" bestFit="1" customWidth="1"/>
    <col min="5" max="5" width="96.5546875" customWidth="1"/>
  </cols>
  <sheetData>
    <row r="4" spans="2:5" ht="17.399999999999999" x14ac:dyDescent="0.25">
      <c r="B4" s="103" t="s">
        <v>585</v>
      </c>
    </row>
    <row r="5" spans="2:5" ht="13.8" thickBot="1" x14ac:dyDescent="0.3"/>
    <row r="6" spans="2:5" ht="13.8" thickBot="1" x14ac:dyDescent="0.3">
      <c r="B6" s="538" t="s">
        <v>586</v>
      </c>
      <c r="C6" s="539" t="s">
        <v>587</v>
      </c>
      <c r="D6" s="539" t="s">
        <v>588</v>
      </c>
      <c r="E6" s="540" t="s">
        <v>589</v>
      </c>
    </row>
    <row r="7" spans="2:5" x14ac:dyDescent="0.25">
      <c r="B7" s="534" t="s">
        <v>591</v>
      </c>
      <c r="C7" s="535">
        <v>39448</v>
      </c>
      <c r="D7" s="536" t="s">
        <v>590</v>
      </c>
      <c r="E7" s="537" t="s">
        <v>593</v>
      </c>
    </row>
    <row r="8" spans="2:5" x14ac:dyDescent="0.25">
      <c r="B8" s="532" t="s">
        <v>592</v>
      </c>
      <c r="C8" s="104">
        <v>42142</v>
      </c>
      <c r="D8" s="105" t="s">
        <v>590</v>
      </c>
      <c r="E8" s="533" t="s">
        <v>594</v>
      </c>
    </row>
    <row r="9" spans="2:5" ht="40.200000000000003" thickBot="1" x14ac:dyDescent="0.3">
      <c r="B9" s="557" t="s">
        <v>685</v>
      </c>
      <c r="C9" s="558">
        <v>45534</v>
      </c>
      <c r="D9" s="559" t="s">
        <v>730</v>
      </c>
      <c r="E9" s="560" t="s">
        <v>774</v>
      </c>
    </row>
  </sheetData>
  <sheetProtection algorithmName="SHA-512" hashValue="By0q8/zSqFHGv4egJ0OT9i7F08//fPeKMu/5QQFiAA1hPxqr1lT5FjS0ugI8GPwdcBykw90IbpHjpzEq1WrVng==" saltValue="Ez1hHjfJwkJeydSWEZx28Q==" spinCount="100000" sheet="1" objects="1" scenarios="1"/>
  <dataValidations count="1">
    <dataValidation type="date" operator="greaterThanOrEqual" allowBlank="1" showInputMessage="1" showErrorMessage="1" sqref="C7:C9" xr:uid="{00000000-0002-0000-0C00-000000000000}">
      <formula1>1</formula1>
    </dataValidation>
  </dataValidation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B1:BT29"/>
  <sheetViews>
    <sheetView workbookViewId="0"/>
  </sheetViews>
  <sheetFormatPr defaultRowHeight="13.2" x14ac:dyDescent="0.25"/>
  <cols>
    <col min="4" max="4" width="12.6640625" customWidth="1"/>
    <col min="5" max="5" width="13.5546875" customWidth="1"/>
    <col min="6" max="6" width="19.6640625" bestFit="1" customWidth="1"/>
    <col min="7" max="7" width="27.109375" customWidth="1"/>
    <col min="8" max="9" width="20" customWidth="1"/>
  </cols>
  <sheetData>
    <row r="1" spans="2:21" x14ac:dyDescent="0.25">
      <c r="B1" t="s">
        <v>191</v>
      </c>
    </row>
    <row r="3" spans="2:21" ht="13.8" thickBot="1" x14ac:dyDescent="0.3"/>
    <row r="4" spans="2:21" ht="13.8" thickBot="1" x14ac:dyDescent="0.3">
      <c r="C4" s="15" t="s">
        <v>157</v>
      </c>
      <c r="D4" s="20" t="s">
        <v>568</v>
      </c>
      <c r="E4" s="20" t="s">
        <v>21</v>
      </c>
      <c r="F4" s="20" t="s">
        <v>569</v>
      </c>
      <c r="G4" s="20" t="s">
        <v>570</v>
      </c>
      <c r="H4" s="20" t="s">
        <v>567</v>
      </c>
      <c r="I4" s="20" t="s">
        <v>575</v>
      </c>
      <c r="J4" s="20" t="s">
        <v>41</v>
      </c>
      <c r="K4" s="20"/>
      <c r="L4" s="20"/>
      <c r="M4" s="20"/>
      <c r="N4" s="20"/>
      <c r="O4" s="20"/>
      <c r="P4" s="20"/>
      <c r="Q4" s="20"/>
      <c r="R4" s="20"/>
      <c r="S4" s="20"/>
      <c r="T4" s="20"/>
      <c r="U4" s="14"/>
    </row>
    <row r="5" spans="2:21" x14ac:dyDescent="0.25">
      <c r="C5">
        <f>'3. Calculator'!C8</f>
        <v>0</v>
      </c>
      <c r="D5">
        <f>'3. Calculator'!D8</f>
        <v>0</v>
      </c>
      <c r="E5">
        <f>'3. Calculator'!E8</f>
        <v>0</v>
      </c>
      <c r="F5" t="e">
        <f t="shared" ref="F5:F28" si="0">VLOOKUP(C5, Tier3KeyTable, 2, FALSE)</f>
        <v>#NAME?</v>
      </c>
      <c r="G5" t="e">
        <f t="shared" ref="G5:G28" ca="1" si="1">VLOOKUP(E5, INDIRECT(F5), 2, FALSE)</f>
        <v>#NAME?</v>
      </c>
    </row>
    <row r="6" spans="2:21" x14ac:dyDescent="0.25">
      <c r="C6">
        <f>'3. Calculator'!C9</f>
        <v>0</v>
      </c>
      <c r="D6">
        <f>'3. Calculator'!D9</f>
        <v>0</v>
      </c>
      <c r="E6">
        <f>'3. Calculator'!E9</f>
        <v>0</v>
      </c>
      <c r="F6" t="e">
        <f t="shared" si="0"/>
        <v>#NAME?</v>
      </c>
      <c r="G6" t="e">
        <f t="shared" ca="1" si="1"/>
        <v>#NAME?</v>
      </c>
    </row>
    <row r="7" spans="2:21" x14ac:dyDescent="0.25">
      <c r="C7">
        <f>'3. Calculator'!C10</f>
        <v>0</v>
      </c>
      <c r="D7">
        <f>'3. Calculator'!D10</f>
        <v>0</v>
      </c>
      <c r="E7">
        <f>'3. Calculator'!E10</f>
        <v>0</v>
      </c>
      <c r="F7" t="e">
        <f t="shared" si="0"/>
        <v>#NAME?</v>
      </c>
      <c r="G7" t="e">
        <f t="shared" ca="1" si="1"/>
        <v>#NAME?</v>
      </c>
    </row>
    <row r="8" spans="2:21" x14ac:dyDescent="0.25">
      <c r="C8">
        <f>'3. Calculator'!C11</f>
        <v>0</v>
      </c>
      <c r="D8">
        <f>'3. Calculator'!D11</f>
        <v>0</v>
      </c>
      <c r="E8">
        <f>'3. Calculator'!E11</f>
        <v>0</v>
      </c>
      <c r="F8" t="e">
        <f t="shared" si="0"/>
        <v>#NAME?</v>
      </c>
      <c r="G8" t="e">
        <f t="shared" ca="1" si="1"/>
        <v>#NAME?</v>
      </c>
    </row>
    <row r="9" spans="2:21" x14ac:dyDescent="0.25">
      <c r="C9">
        <f>'3. Calculator'!C12</f>
        <v>0</v>
      </c>
      <c r="D9">
        <f>'3. Calculator'!D12</f>
        <v>0</v>
      </c>
      <c r="E9">
        <f>'3. Calculator'!E12</f>
        <v>0</v>
      </c>
      <c r="F9" t="e">
        <f t="shared" si="0"/>
        <v>#NAME?</v>
      </c>
      <c r="G9" t="e">
        <f t="shared" ca="1" si="1"/>
        <v>#NAME?</v>
      </c>
    </row>
    <row r="10" spans="2:21" x14ac:dyDescent="0.25">
      <c r="C10">
        <f>'3. Calculator'!C13</f>
        <v>0</v>
      </c>
      <c r="D10">
        <f>'3. Calculator'!D13</f>
        <v>0</v>
      </c>
      <c r="E10">
        <f>'3. Calculator'!E13</f>
        <v>0</v>
      </c>
      <c r="F10" t="e">
        <f t="shared" si="0"/>
        <v>#NAME?</v>
      </c>
      <c r="G10" t="e">
        <f t="shared" ca="1" si="1"/>
        <v>#NAME?</v>
      </c>
    </row>
    <row r="11" spans="2:21" x14ac:dyDescent="0.25">
      <c r="C11">
        <f>'3. Calculator'!C14</f>
        <v>0</v>
      </c>
      <c r="D11">
        <f>'3. Calculator'!D14</f>
        <v>0</v>
      </c>
      <c r="E11">
        <f>'3. Calculator'!E14</f>
        <v>0</v>
      </c>
      <c r="F11" t="e">
        <f t="shared" si="0"/>
        <v>#NAME?</v>
      </c>
      <c r="G11" t="e">
        <f t="shared" ca="1" si="1"/>
        <v>#NAME?</v>
      </c>
    </row>
    <row r="12" spans="2:21" x14ac:dyDescent="0.25">
      <c r="C12">
        <f>'3. Calculator'!C15</f>
        <v>0</v>
      </c>
      <c r="D12">
        <f>'3. Calculator'!D15</f>
        <v>0</v>
      </c>
      <c r="E12">
        <f>'3. Calculator'!E15</f>
        <v>0</v>
      </c>
      <c r="F12" t="e">
        <f t="shared" si="0"/>
        <v>#NAME?</v>
      </c>
      <c r="G12" t="e">
        <f t="shared" ca="1" si="1"/>
        <v>#NAME?</v>
      </c>
    </row>
    <row r="13" spans="2:21" x14ac:dyDescent="0.25">
      <c r="C13">
        <f>'3. Calculator'!C16</f>
        <v>0</v>
      </c>
      <c r="D13">
        <f>'3. Calculator'!D16</f>
        <v>0</v>
      </c>
      <c r="E13">
        <f>'3. Calculator'!E16</f>
        <v>0</v>
      </c>
      <c r="F13" t="e">
        <f t="shared" si="0"/>
        <v>#NAME?</v>
      </c>
      <c r="G13" t="e">
        <f t="shared" ca="1" si="1"/>
        <v>#NAME?</v>
      </c>
    </row>
    <row r="14" spans="2:21" x14ac:dyDescent="0.25">
      <c r="C14">
        <f>'3. Calculator'!C17</f>
        <v>0</v>
      </c>
      <c r="D14">
        <f>'3. Calculator'!D17</f>
        <v>0</v>
      </c>
      <c r="E14">
        <f>'3. Calculator'!E17</f>
        <v>0</v>
      </c>
      <c r="F14" t="e">
        <f t="shared" si="0"/>
        <v>#NAME?</v>
      </c>
      <c r="G14" t="e">
        <f t="shared" ca="1" si="1"/>
        <v>#NAME?</v>
      </c>
    </row>
    <row r="15" spans="2:21" x14ac:dyDescent="0.25">
      <c r="C15">
        <f>'3. Calculator'!C18</f>
        <v>0</v>
      </c>
      <c r="D15">
        <f>'3. Calculator'!D18</f>
        <v>0</v>
      </c>
      <c r="E15">
        <f>'3. Calculator'!E18</f>
        <v>0</v>
      </c>
      <c r="F15" t="e">
        <f t="shared" si="0"/>
        <v>#NAME?</v>
      </c>
      <c r="G15" t="e">
        <f t="shared" ca="1" si="1"/>
        <v>#NAME?</v>
      </c>
    </row>
    <row r="16" spans="2:21" x14ac:dyDescent="0.25">
      <c r="C16">
        <f>'3. Calculator'!C19</f>
        <v>0</v>
      </c>
      <c r="D16">
        <f>'3. Calculator'!D19</f>
        <v>0</v>
      </c>
      <c r="E16">
        <f>'3. Calculator'!E19</f>
        <v>0</v>
      </c>
      <c r="F16" t="e">
        <f t="shared" si="0"/>
        <v>#NAME?</v>
      </c>
      <c r="G16" t="e">
        <f t="shared" ca="1" si="1"/>
        <v>#NAME?</v>
      </c>
    </row>
    <row r="17" spans="3:72" x14ac:dyDescent="0.25">
      <c r="C17">
        <f>'3. Calculator'!C20</f>
        <v>0</v>
      </c>
      <c r="D17">
        <f>'3. Calculator'!D20</f>
        <v>0</v>
      </c>
      <c r="E17">
        <f>'3. Calculator'!E20</f>
        <v>0</v>
      </c>
      <c r="F17" t="e">
        <f t="shared" si="0"/>
        <v>#NAME?</v>
      </c>
      <c r="G17" t="e">
        <f t="shared" ca="1" si="1"/>
        <v>#NAME?</v>
      </c>
    </row>
    <row r="18" spans="3:72" x14ac:dyDescent="0.25">
      <c r="C18">
        <f>'3. Calculator'!C21</f>
        <v>0</v>
      </c>
      <c r="D18">
        <f>'3. Calculator'!D21</f>
        <v>0</v>
      </c>
      <c r="E18">
        <f>'3. Calculator'!E21</f>
        <v>0</v>
      </c>
      <c r="F18" t="e">
        <f t="shared" si="0"/>
        <v>#NAME?</v>
      </c>
      <c r="G18" t="e">
        <f t="shared" ca="1" si="1"/>
        <v>#NAME?</v>
      </c>
    </row>
    <row r="19" spans="3:72" x14ac:dyDescent="0.25">
      <c r="C19">
        <f>'3. Calculator'!C22</f>
        <v>0</v>
      </c>
      <c r="D19">
        <f>'3. Calculator'!D22</f>
        <v>0</v>
      </c>
      <c r="E19">
        <f>'3. Calculator'!E22</f>
        <v>0</v>
      </c>
      <c r="F19" t="e">
        <f t="shared" si="0"/>
        <v>#NAME?</v>
      </c>
      <c r="G19" t="e">
        <f t="shared" ca="1" si="1"/>
        <v>#NAME?</v>
      </c>
    </row>
    <row r="20" spans="3:72" x14ac:dyDescent="0.25">
      <c r="C20">
        <f>'3. Calculator'!C23</f>
        <v>0</v>
      </c>
      <c r="D20">
        <f>'3. Calculator'!D23</f>
        <v>0</v>
      </c>
      <c r="E20">
        <f>'3. Calculator'!E23</f>
        <v>0</v>
      </c>
      <c r="F20" t="e">
        <f t="shared" si="0"/>
        <v>#NAME?</v>
      </c>
      <c r="G20" t="e">
        <f t="shared" ca="1" si="1"/>
        <v>#NAME?</v>
      </c>
    </row>
    <row r="21" spans="3:72" x14ac:dyDescent="0.25">
      <c r="C21">
        <f>'3. Calculator'!C24</f>
        <v>0</v>
      </c>
      <c r="D21">
        <f>'3. Calculator'!D24</f>
        <v>0</v>
      </c>
      <c r="E21">
        <f>'3. Calculator'!E24</f>
        <v>0</v>
      </c>
      <c r="F21" t="e">
        <f t="shared" si="0"/>
        <v>#NAME?</v>
      </c>
      <c r="G21" t="e">
        <f t="shared" ca="1" si="1"/>
        <v>#NAME?</v>
      </c>
    </row>
    <row r="22" spans="3:72" x14ac:dyDescent="0.25">
      <c r="C22">
        <f>'3. Calculator'!C25</f>
        <v>0</v>
      </c>
      <c r="D22">
        <f>'3. Calculator'!D25</f>
        <v>0</v>
      </c>
      <c r="E22">
        <f>'3. Calculator'!E25</f>
        <v>0</v>
      </c>
      <c r="F22" t="e">
        <f t="shared" si="0"/>
        <v>#NAME?</v>
      </c>
      <c r="G22" t="e">
        <f t="shared" ca="1" si="1"/>
        <v>#NAME?</v>
      </c>
    </row>
    <row r="23" spans="3:72" x14ac:dyDescent="0.25">
      <c r="C23">
        <f>'3. Calculator'!C29</f>
        <v>0</v>
      </c>
      <c r="D23">
        <f>'3. Calculator'!D29</f>
        <v>0</v>
      </c>
      <c r="E23">
        <f>'3. Calculator'!E29</f>
        <v>0</v>
      </c>
      <c r="F23" t="e">
        <f t="shared" si="0"/>
        <v>#NAME?</v>
      </c>
      <c r="G23" t="e">
        <f t="shared" ca="1" si="1"/>
        <v>#NAME?</v>
      </c>
    </row>
    <row r="24" spans="3:72" x14ac:dyDescent="0.25">
      <c r="C24">
        <f>'3. Calculator'!C30</f>
        <v>0</v>
      </c>
      <c r="D24">
        <f>'3. Calculator'!D30</f>
        <v>0</v>
      </c>
      <c r="E24">
        <f>'3. Calculator'!E30</f>
        <v>0</v>
      </c>
      <c r="F24" t="e">
        <f t="shared" si="0"/>
        <v>#NAME?</v>
      </c>
      <c r="G24" t="e">
        <f t="shared" ca="1" si="1"/>
        <v>#NAME?</v>
      </c>
    </row>
    <row r="25" spans="3:72" x14ac:dyDescent="0.25">
      <c r="C25">
        <f>'3. Calculator'!C31</f>
        <v>0</v>
      </c>
      <c r="D25">
        <f>'3. Calculator'!D31</f>
        <v>0</v>
      </c>
      <c r="E25">
        <f>'3. Calculator'!E31</f>
        <v>0</v>
      </c>
      <c r="F25" t="e">
        <f t="shared" si="0"/>
        <v>#NAME?</v>
      </c>
      <c r="G25" t="e">
        <f t="shared" ca="1" si="1"/>
        <v>#NAME?</v>
      </c>
    </row>
    <row r="26" spans="3:72" x14ac:dyDescent="0.25">
      <c r="C26">
        <f>'3. Calculator'!C32</f>
        <v>0</v>
      </c>
      <c r="D26">
        <f>'3. Calculator'!D32</f>
        <v>0</v>
      </c>
      <c r="E26">
        <f>'3. Calculator'!E32</f>
        <v>0</v>
      </c>
      <c r="F26" t="e">
        <f t="shared" si="0"/>
        <v>#NAME?</v>
      </c>
      <c r="G26" t="e">
        <f t="shared" ca="1" si="1"/>
        <v>#NAME?</v>
      </c>
    </row>
    <row r="27" spans="3:72" x14ac:dyDescent="0.25">
      <c r="C27">
        <f>'3. Calculator'!C33</f>
        <v>0</v>
      </c>
      <c r="D27">
        <f>'3. Calculator'!D33</f>
        <v>0</v>
      </c>
      <c r="E27">
        <f>'3. Calculator'!E33</f>
        <v>0</v>
      </c>
      <c r="F27" t="e">
        <f t="shared" si="0"/>
        <v>#NAME?</v>
      </c>
      <c r="G27" t="e">
        <f t="shared" ca="1" si="1"/>
        <v>#NAME?</v>
      </c>
    </row>
    <row r="28" spans="3:72" ht="13.8" thickBot="1" x14ac:dyDescent="0.3">
      <c r="C28">
        <f>'3. Calculator'!C34</f>
        <v>0</v>
      </c>
      <c r="D28">
        <f>'3. Calculator'!D34</f>
        <v>0</v>
      </c>
      <c r="E28">
        <f>'3. Calculator'!E34</f>
        <v>0</v>
      </c>
      <c r="F28" t="e">
        <f t="shared" si="0"/>
        <v>#NAME?</v>
      </c>
      <c r="G28" t="e">
        <f t="shared" ca="1" si="1"/>
        <v>#NAME?</v>
      </c>
    </row>
    <row r="29" spans="3:72" ht="13.8" thickBot="1" x14ac:dyDescent="0.3">
      <c r="C29" s="15"/>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14"/>
    </row>
  </sheetData>
  <phoneticPr fontId="3" type="noConversion"/>
  <dataValidations count="1">
    <dataValidation type="list" allowBlank="1" showInputMessage="1" showErrorMessage="1" sqref="H5:I28" xr:uid="{00000000-0002-0000-0300-000000000000}">
      <formula1>INDIRECT(G5)</formula1>
    </dataValidation>
  </dataValidations>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B1:J68"/>
  <sheetViews>
    <sheetView workbookViewId="0"/>
  </sheetViews>
  <sheetFormatPr defaultRowHeight="13.2" x14ac:dyDescent="0.25"/>
  <cols>
    <col min="2" max="2" width="23.33203125" bestFit="1" customWidth="1"/>
    <col min="3" max="3" width="23" bestFit="1" customWidth="1"/>
    <col min="4" max="4" width="23" customWidth="1"/>
    <col min="5" max="5" width="51.109375" bestFit="1" customWidth="1"/>
    <col min="6" max="6" width="16.6640625" bestFit="1" customWidth="1"/>
  </cols>
  <sheetData>
    <row r="1" spans="2:10" x14ac:dyDescent="0.25">
      <c r="B1" t="s">
        <v>191</v>
      </c>
    </row>
    <row r="8" spans="2:10" x14ac:dyDescent="0.25">
      <c r="F8" t="s">
        <v>514</v>
      </c>
    </row>
    <row r="9" spans="2:10" ht="15" x14ac:dyDescent="0.25">
      <c r="E9" s="25" t="s">
        <v>125</v>
      </c>
      <c r="F9" t="s">
        <v>513</v>
      </c>
    </row>
    <row r="10" spans="2:10" ht="15" x14ac:dyDescent="0.25">
      <c r="E10" s="25" t="s">
        <v>134</v>
      </c>
    </row>
    <row r="11" spans="2:10" ht="15" x14ac:dyDescent="0.25">
      <c r="E11" s="25" t="s">
        <v>126</v>
      </c>
    </row>
    <row r="12" spans="2:10" ht="15" x14ac:dyDescent="0.25">
      <c r="E12" s="25" t="s">
        <v>127</v>
      </c>
    </row>
    <row r="13" spans="2:10" ht="15" x14ac:dyDescent="0.25">
      <c r="E13" s="25" t="s">
        <v>128</v>
      </c>
      <c r="J13" t="s">
        <v>516</v>
      </c>
    </row>
    <row r="14" spans="2:10" ht="15" x14ac:dyDescent="0.25">
      <c r="E14" s="25" t="s">
        <v>129</v>
      </c>
    </row>
    <row r="15" spans="2:10" ht="15" x14ac:dyDescent="0.25">
      <c r="E15" s="25" t="s">
        <v>130</v>
      </c>
    </row>
    <row r="16" spans="2:10" ht="15.6" thickBot="1" x14ac:dyDescent="0.3">
      <c r="E16" s="27" t="s">
        <v>131</v>
      </c>
    </row>
    <row r="17" spans="2:7" ht="15" x14ac:dyDescent="0.25">
      <c r="E17" s="25" t="s">
        <v>539</v>
      </c>
    </row>
    <row r="19" spans="2:7" ht="15" x14ac:dyDescent="0.25">
      <c r="E19" s="24" t="s">
        <v>515</v>
      </c>
    </row>
    <row r="20" spans="2:7" ht="75.75" customHeight="1" thickBot="1" x14ac:dyDescent="0.3">
      <c r="B20" t="s">
        <v>21</v>
      </c>
      <c r="C20" s="11" t="s">
        <v>571</v>
      </c>
      <c r="D20" s="11" t="s">
        <v>572</v>
      </c>
      <c r="F20" t="s">
        <v>534</v>
      </c>
      <c r="G20" t="s">
        <v>535</v>
      </c>
    </row>
    <row r="21" spans="2:7" x14ac:dyDescent="0.25">
      <c r="B21" s="7" t="s">
        <v>383</v>
      </c>
      <c r="C21" s="18" t="s">
        <v>540</v>
      </c>
      <c r="D21" t="s">
        <v>573</v>
      </c>
      <c r="E21" t="s">
        <v>517</v>
      </c>
      <c r="F21">
        <v>0.8</v>
      </c>
      <c r="G21">
        <v>0.3</v>
      </c>
    </row>
    <row r="22" spans="2:7" x14ac:dyDescent="0.25">
      <c r="B22" s="2"/>
      <c r="C22" s="3"/>
      <c r="E22" t="s">
        <v>518</v>
      </c>
      <c r="F22">
        <v>0.8</v>
      </c>
      <c r="G22">
        <v>0.3</v>
      </c>
    </row>
    <row r="23" spans="2:7" x14ac:dyDescent="0.25">
      <c r="B23" s="2"/>
      <c r="C23" s="3"/>
      <c r="E23" t="s">
        <v>576</v>
      </c>
    </row>
    <row r="24" spans="2:7" x14ac:dyDescent="0.25">
      <c r="B24" s="2"/>
      <c r="C24" s="3"/>
      <c r="E24" t="s">
        <v>577</v>
      </c>
    </row>
    <row r="25" spans="2:7" x14ac:dyDescent="0.25">
      <c r="B25" s="2"/>
      <c r="C25" s="3"/>
      <c r="E25" t="s">
        <v>566</v>
      </c>
    </row>
    <row r="26" spans="2:7" x14ac:dyDescent="0.25">
      <c r="B26" s="2" t="s">
        <v>385</v>
      </c>
      <c r="C26" s="3" t="s">
        <v>541</v>
      </c>
      <c r="E26" t="s">
        <v>517</v>
      </c>
      <c r="F26">
        <v>0.8</v>
      </c>
      <c r="G26">
        <v>0.3</v>
      </c>
    </row>
    <row r="27" spans="2:7" x14ac:dyDescent="0.25">
      <c r="B27" s="2"/>
      <c r="C27" s="3"/>
      <c r="E27" t="s">
        <v>518</v>
      </c>
      <c r="F27">
        <v>0.8</v>
      </c>
      <c r="G27">
        <v>0.3</v>
      </c>
    </row>
    <row r="28" spans="2:7" x14ac:dyDescent="0.25">
      <c r="B28" s="2"/>
      <c r="C28" s="3"/>
      <c r="E28" t="s">
        <v>576</v>
      </c>
    </row>
    <row r="29" spans="2:7" x14ac:dyDescent="0.25">
      <c r="B29" s="2"/>
      <c r="C29" s="3"/>
      <c r="E29" t="s">
        <v>577</v>
      </c>
    </row>
    <row r="30" spans="2:7" x14ac:dyDescent="0.25">
      <c r="B30" s="2"/>
      <c r="C30" s="3"/>
    </row>
    <row r="31" spans="2:7" x14ac:dyDescent="0.25">
      <c r="B31" s="2" t="s">
        <v>384</v>
      </c>
      <c r="C31" s="3" t="s">
        <v>542</v>
      </c>
      <c r="E31" t="s">
        <v>517</v>
      </c>
      <c r="F31">
        <v>0.9</v>
      </c>
      <c r="G31">
        <v>0.4</v>
      </c>
    </row>
    <row r="32" spans="2:7" x14ac:dyDescent="0.25">
      <c r="B32" s="2"/>
      <c r="C32" s="3"/>
      <c r="E32" t="s">
        <v>518</v>
      </c>
      <c r="F32">
        <v>0.9</v>
      </c>
      <c r="G32">
        <v>0.4</v>
      </c>
    </row>
    <row r="33" spans="2:7" x14ac:dyDescent="0.25">
      <c r="B33" s="2"/>
      <c r="C33" s="3"/>
      <c r="E33" t="s">
        <v>519</v>
      </c>
      <c r="F33">
        <v>4</v>
      </c>
      <c r="G33" s="1" t="s">
        <v>46</v>
      </c>
    </row>
    <row r="34" spans="2:7" x14ac:dyDescent="0.25">
      <c r="B34" s="2"/>
      <c r="C34" s="3"/>
      <c r="E34" t="s">
        <v>576</v>
      </c>
    </row>
    <row r="35" spans="2:7" x14ac:dyDescent="0.25">
      <c r="B35" s="2"/>
      <c r="C35" s="3"/>
      <c r="E35" t="s">
        <v>577</v>
      </c>
    </row>
    <row r="36" spans="2:7" ht="15" x14ac:dyDescent="0.25">
      <c r="B36" s="25" t="s">
        <v>387</v>
      </c>
      <c r="C36" s="3" t="s">
        <v>543</v>
      </c>
      <c r="E36" t="s">
        <v>536</v>
      </c>
      <c r="F36">
        <v>0.7</v>
      </c>
      <c r="G36">
        <v>0.5</v>
      </c>
    </row>
    <row r="37" spans="2:7" x14ac:dyDescent="0.25">
      <c r="B37" s="2"/>
      <c r="C37" s="3"/>
      <c r="E37" t="s">
        <v>537</v>
      </c>
      <c r="F37">
        <v>0.7</v>
      </c>
      <c r="G37">
        <v>1.4</v>
      </c>
    </row>
    <row r="38" spans="2:7" x14ac:dyDescent="0.25">
      <c r="B38" s="2"/>
      <c r="C38" s="3"/>
      <c r="E38" t="s">
        <v>538</v>
      </c>
      <c r="F38">
        <v>0.9</v>
      </c>
      <c r="G38">
        <v>1.4</v>
      </c>
    </row>
    <row r="39" spans="2:7" x14ac:dyDescent="0.25">
      <c r="B39" s="2"/>
      <c r="C39" s="3"/>
      <c r="E39" t="s">
        <v>523</v>
      </c>
      <c r="F39">
        <v>1</v>
      </c>
      <c r="G39">
        <v>0.7</v>
      </c>
    </row>
    <row r="40" spans="2:7" x14ac:dyDescent="0.25">
      <c r="B40" s="2"/>
      <c r="C40" s="3"/>
      <c r="E40" t="s">
        <v>524</v>
      </c>
      <c r="F40">
        <v>1</v>
      </c>
      <c r="G40">
        <v>0.7</v>
      </c>
    </row>
    <row r="41" spans="2:7" x14ac:dyDescent="0.25">
      <c r="B41" s="2"/>
      <c r="C41" s="3"/>
      <c r="E41" t="s">
        <v>525</v>
      </c>
      <c r="F41">
        <v>1</v>
      </c>
      <c r="G41">
        <v>61</v>
      </c>
    </row>
    <row r="42" spans="2:7" x14ac:dyDescent="0.25">
      <c r="B42" s="2"/>
      <c r="C42" s="3"/>
      <c r="E42" t="s">
        <v>532</v>
      </c>
      <c r="F42">
        <v>1</v>
      </c>
      <c r="G42">
        <v>61</v>
      </c>
    </row>
    <row r="43" spans="2:7" x14ac:dyDescent="0.25">
      <c r="B43" s="2"/>
      <c r="C43" s="3"/>
      <c r="E43" t="s">
        <v>526</v>
      </c>
      <c r="F43">
        <v>0.2</v>
      </c>
      <c r="G43">
        <v>1.6</v>
      </c>
    </row>
    <row r="44" spans="2:7" x14ac:dyDescent="0.25">
      <c r="B44" s="2"/>
      <c r="C44" s="3"/>
      <c r="E44" t="s">
        <v>576</v>
      </c>
    </row>
    <row r="45" spans="2:7" x14ac:dyDescent="0.25">
      <c r="B45" s="2"/>
      <c r="C45" s="3"/>
      <c r="E45" t="s">
        <v>577</v>
      </c>
    </row>
    <row r="46" spans="2:7" ht="15" x14ac:dyDescent="0.25">
      <c r="B46" s="25" t="s">
        <v>388</v>
      </c>
      <c r="C46" s="3" t="s">
        <v>544</v>
      </c>
      <c r="E46" t="s">
        <v>520</v>
      </c>
      <c r="F46">
        <v>0.7</v>
      </c>
      <c r="G46">
        <v>0.5</v>
      </c>
    </row>
    <row r="47" spans="2:7" x14ac:dyDescent="0.25">
      <c r="B47" s="2"/>
      <c r="C47" s="3"/>
      <c r="E47" t="s">
        <v>521</v>
      </c>
      <c r="F47">
        <v>0.7</v>
      </c>
      <c r="G47">
        <v>1.4</v>
      </c>
    </row>
    <row r="48" spans="2:7" x14ac:dyDescent="0.25">
      <c r="B48" s="2"/>
      <c r="C48" s="3"/>
      <c r="E48" t="s">
        <v>522</v>
      </c>
      <c r="F48">
        <v>0.9</v>
      </c>
      <c r="G48">
        <v>1.4</v>
      </c>
    </row>
    <row r="49" spans="2:7" x14ac:dyDescent="0.25">
      <c r="B49" s="2"/>
      <c r="C49" s="3"/>
      <c r="E49" t="s">
        <v>523</v>
      </c>
      <c r="F49">
        <v>1</v>
      </c>
      <c r="G49">
        <v>0.7</v>
      </c>
    </row>
    <row r="50" spans="2:7" x14ac:dyDescent="0.25">
      <c r="B50" s="2"/>
      <c r="C50" s="3"/>
      <c r="E50" t="s">
        <v>524</v>
      </c>
      <c r="F50">
        <v>1</v>
      </c>
      <c r="G50">
        <v>0.7</v>
      </c>
    </row>
    <row r="51" spans="2:7" x14ac:dyDescent="0.25">
      <c r="B51" s="2"/>
      <c r="C51" s="3"/>
      <c r="E51" t="s">
        <v>525</v>
      </c>
      <c r="F51">
        <v>1</v>
      </c>
      <c r="G51">
        <v>61</v>
      </c>
    </row>
    <row r="52" spans="2:7" x14ac:dyDescent="0.25">
      <c r="B52" s="2"/>
      <c r="C52" s="3"/>
      <c r="E52" t="s">
        <v>532</v>
      </c>
      <c r="F52">
        <v>1</v>
      </c>
      <c r="G52">
        <v>61</v>
      </c>
    </row>
    <row r="53" spans="2:7" x14ac:dyDescent="0.25">
      <c r="B53" s="2"/>
      <c r="C53" s="3"/>
      <c r="E53" t="s">
        <v>526</v>
      </c>
      <c r="F53">
        <v>0.2</v>
      </c>
      <c r="G53">
        <v>1.6</v>
      </c>
    </row>
    <row r="54" spans="2:7" x14ac:dyDescent="0.25">
      <c r="B54" s="2"/>
      <c r="C54" s="3"/>
    </row>
    <row r="55" spans="2:7" x14ac:dyDescent="0.25">
      <c r="B55" s="2"/>
      <c r="C55" s="3"/>
    </row>
    <row r="56" spans="2:7" x14ac:dyDescent="0.25">
      <c r="B56" s="2" t="s">
        <v>28</v>
      </c>
      <c r="C56" s="3" t="s">
        <v>545</v>
      </c>
      <c r="E56" t="s">
        <v>527</v>
      </c>
      <c r="F56" t="s">
        <v>46</v>
      </c>
      <c r="G56">
        <v>71</v>
      </c>
    </row>
    <row r="57" spans="2:7" x14ac:dyDescent="0.25">
      <c r="B57" s="2"/>
      <c r="C57" s="3"/>
    </row>
    <row r="58" spans="2:7" x14ac:dyDescent="0.25">
      <c r="B58" s="2" t="s">
        <v>393</v>
      </c>
      <c r="C58" s="3" t="s">
        <v>563</v>
      </c>
      <c r="E58" t="s">
        <v>528</v>
      </c>
      <c r="F58">
        <v>1</v>
      </c>
      <c r="G58">
        <v>1</v>
      </c>
    </row>
    <row r="59" spans="2:7" x14ac:dyDescent="0.25">
      <c r="B59" s="2"/>
      <c r="C59" s="3"/>
      <c r="E59" t="s">
        <v>529</v>
      </c>
      <c r="F59">
        <v>4</v>
      </c>
      <c r="G59">
        <v>1</v>
      </c>
    </row>
    <row r="60" spans="2:7" x14ac:dyDescent="0.25">
      <c r="B60" s="2"/>
      <c r="C60" s="3"/>
      <c r="E60" t="s">
        <v>530</v>
      </c>
      <c r="F60">
        <v>258</v>
      </c>
      <c r="G60" t="s">
        <v>46</v>
      </c>
    </row>
    <row r="61" spans="2:7" x14ac:dyDescent="0.25">
      <c r="B61" s="2"/>
      <c r="C61" s="3"/>
      <c r="E61" t="s">
        <v>531</v>
      </c>
      <c r="F61">
        <v>1</v>
      </c>
      <c r="G61">
        <v>3</v>
      </c>
    </row>
    <row r="62" spans="2:7" x14ac:dyDescent="0.25">
      <c r="B62" s="2"/>
      <c r="C62" s="3"/>
    </row>
    <row r="63" spans="2:7" x14ac:dyDescent="0.25">
      <c r="B63" s="2" t="s">
        <v>33</v>
      </c>
      <c r="C63" s="3" t="s">
        <v>564</v>
      </c>
      <c r="E63" t="s">
        <v>525</v>
      </c>
      <c r="F63">
        <v>3</v>
      </c>
      <c r="G63">
        <v>7</v>
      </c>
    </row>
    <row r="64" spans="2:7" x14ac:dyDescent="0.25">
      <c r="B64" s="2"/>
      <c r="C64" s="3"/>
      <c r="E64" t="s">
        <v>532</v>
      </c>
      <c r="F64">
        <v>3</v>
      </c>
      <c r="G64">
        <v>3</v>
      </c>
    </row>
    <row r="65" spans="2:7" x14ac:dyDescent="0.25">
      <c r="B65" s="2"/>
      <c r="C65" s="3"/>
    </row>
    <row r="66" spans="2:7" ht="15" x14ac:dyDescent="0.25">
      <c r="B66" s="25" t="s">
        <v>394</v>
      </c>
      <c r="C66" s="3" t="s">
        <v>565</v>
      </c>
      <c r="E66" t="s">
        <v>528</v>
      </c>
      <c r="F66">
        <v>11</v>
      </c>
      <c r="G66">
        <v>7</v>
      </c>
    </row>
    <row r="67" spans="2:7" ht="13.8" thickBot="1" x14ac:dyDescent="0.3">
      <c r="B67" s="4"/>
      <c r="C67" s="6"/>
      <c r="E67" t="s">
        <v>533</v>
      </c>
      <c r="F67">
        <v>1</v>
      </c>
      <c r="G67">
        <v>1</v>
      </c>
    </row>
    <row r="68" spans="2:7" ht="13.8" thickBot="1" x14ac:dyDescent="0.3">
      <c r="B68" s="4" t="s">
        <v>574</v>
      </c>
      <c r="C68" s="6"/>
    </row>
  </sheetData>
  <phoneticPr fontId="3"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ACA2"/>
  </sheetPr>
  <dimension ref="A1:O73"/>
  <sheetViews>
    <sheetView showGridLines="0" showRowColHeaders="0" topLeftCell="A17" zoomScaleNormal="100" workbookViewId="0">
      <selection activeCell="S34" sqref="S34"/>
    </sheetView>
  </sheetViews>
  <sheetFormatPr defaultRowHeight="13.2" x14ac:dyDescent="0.25"/>
  <cols>
    <col min="1" max="1" width="8.5546875" customWidth="1"/>
    <col min="2" max="2" width="4" customWidth="1"/>
    <col min="3" max="3" width="5.33203125" customWidth="1"/>
    <col min="4" max="4" width="8.44140625" customWidth="1"/>
    <col min="11" max="11" width="25.33203125" customWidth="1"/>
    <col min="12" max="12" width="8.6640625" customWidth="1"/>
    <col min="13" max="13" width="4.6640625" customWidth="1"/>
    <col min="15" max="15" width="4" customWidth="1"/>
  </cols>
  <sheetData>
    <row r="1" spans="1:1" x14ac:dyDescent="0.25">
      <c r="A1" s="21"/>
    </row>
    <row r="2" spans="1:1" x14ac:dyDescent="0.25">
      <c r="A2" s="21"/>
    </row>
    <row r="3" spans="1:1" x14ac:dyDescent="0.25">
      <c r="A3" s="21"/>
    </row>
    <row r="4" spans="1:1" x14ac:dyDescent="0.25">
      <c r="A4" s="21"/>
    </row>
    <row r="5" spans="1:1" x14ac:dyDescent="0.25">
      <c r="A5" s="21"/>
    </row>
    <row r="6" spans="1:1" x14ac:dyDescent="0.25">
      <c r="A6" s="21"/>
    </row>
    <row r="7" spans="1:1" x14ac:dyDescent="0.25">
      <c r="A7" s="21"/>
    </row>
    <row r="8" spans="1:1" x14ac:dyDescent="0.25">
      <c r="A8" s="21"/>
    </row>
    <row r="9" spans="1:1" x14ac:dyDescent="0.25">
      <c r="A9" s="21"/>
    </row>
    <row r="10" spans="1:1" x14ac:dyDescent="0.25">
      <c r="A10" s="21"/>
    </row>
    <row r="11" spans="1:1" x14ac:dyDescent="0.25">
      <c r="A11" s="21"/>
    </row>
    <row r="12" spans="1:1" x14ac:dyDescent="0.25">
      <c r="A12" s="21"/>
    </row>
    <row r="13" spans="1:1" x14ac:dyDescent="0.25">
      <c r="A13" s="21"/>
    </row>
    <row r="14" spans="1:1" ht="34.799999999999997" x14ac:dyDescent="0.25">
      <c r="A14" s="106" t="s">
        <v>190</v>
      </c>
    </row>
    <row r="15" spans="1:1" x14ac:dyDescent="0.25">
      <c r="A15" s="21"/>
    </row>
    <row r="16" spans="1:1" x14ac:dyDescent="0.25">
      <c r="A16" s="21"/>
    </row>
    <row r="17" spans="1:15" ht="15.75" customHeight="1" x14ac:dyDescent="0.25">
      <c r="A17" s="21"/>
    </row>
    <row r="18" spans="1:15" ht="18" customHeight="1" x14ac:dyDescent="0.25">
      <c r="A18" s="21"/>
      <c r="B18" s="576" t="s">
        <v>403</v>
      </c>
      <c r="C18" s="577"/>
      <c r="D18" s="577"/>
      <c r="E18" s="577"/>
      <c r="F18" s="577"/>
      <c r="G18" s="577"/>
      <c r="H18" s="577"/>
      <c r="I18" s="577"/>
      <c r="J18" s="578"/>
      <c r="K18" s="21"/>
      <c r="L18" s="21"/>
      <c r="M18" s="21"/>
      <c r="N18" s="21"/>
      <c r="O18" s="21"/>
    </row>
    <row r="19" spans="1:15" x14ac:dyDescent="0.25">
      <c r="A19" s="21"/>
      <c r="B19" s="21"/>
      <c r="C19" s="21"/>
      <c r="D19" s="21"/>
      <c r="E19" s="21"/>
      <c r="F19" s="21"/>
      <c r="G19" s="21"/>
      <c r="H19" s="21"/>
      <c r="I19" s="21"/>
      <c r="J19" s="21"/>
      <c r="K19" s="21"/>
      <c r="L19" s="21"/>
      <c r="M19" s="21"/>
      <c r="N19" s="21"/>
      <c r="O19" s="21"/>
    </row>
    <row r="20" spans="1:15" ht="5.25" customHeight="1" thickBot="1" x14ac:dyDescent="0.3">
      <c r="A20" s="21"/>
      <c r="B20" s="63"/>
      <c r="C20" s="63"/>
      <c r="D20" s="63"/>
      <c r="E20" s="63"/>
      <c r="F20" s="63"/>
      <c r="G20" s="63"/>
      <c r="H20" s="63"/>
      <c r="I20" s="63"/>
      <c r="J20" s="63"/>
      <c r="K20" s="63"/>
      <c r="L20" s="63"/>
      <c r="M20" s="63"/>
      <c r="N20" s="63"/>
      <c r="O20" s="63"/>
    </row>
    <row r="21" spans="1:15" ht="13.5" customHeight="1" x14ac:dyDescent="0.25">
      <c r="A21" s="67"/>
      <c r="B21" s="588" t="s">
        <v>778</v>
      </c>
      <c r="C21" s="589"/>
      <c r="D21" s="589"/>
      <c r="E21" s="589"/>
      <c r="F21" s="589"/>
      <c r="G21" s="589"/>
      <c r="H21" s="589"/>
      <c r="I21" s="589"/>
      <c r="J21" s="589"/>
      <c r="K21" s="589"/>
      <c r="L21" s="589"/>
      <c r="M21" s="589"/>
      <c r="N21" s="589"/>
      <c r="O21" s="590"/>
    </row>
    <row r="22" spans="1:15" ht="12.75" customHeight="1" x14ac:dyDescent="0.25">
      <c r="A22" s="67"/>
      <c r="B22" s="591"/>
      <c r="C22" s="592"/>
      <c r="D22" s="592"/>
      <c r="E22" s="592"/>
      <c r="F22" s="592"/>
      <c r="G22" s="592"/>
      <c r="H22" s="592"/>
      <c r="I22" s="592"/>
      <c r="J22" s="592"/>
      <c r="K22" s="592"/>
      <c r="L22" s="592"/>
      <c r="M22" s="592"/>
      <c r="N22" s="592"/>
      <c r="O22" s="593"/>
    </row>
    <row r="23" spans="1:15" ht="51.75" customHeight="1" thickBot="1" x14ac:dyDescent="0.3">
      <c r="A23" s="67"/>
      <c r="B23" s="594" t="s">
        <v>777</v>
      </c>
      <c r="C23" s="595"/>
      <c r="D23" s="595"/>
      <c r="E23" s="595"/>
      <c r="F23" s="595"/>
      <c r="G23" s="595"/>
      <c r="H23" s="595"/>
      <c r="I23" s="595"/>
      <c r="J23" s="595"/>
      <c r="K23" s="595"/>
      <c r="L23" s="595"/>
      <c r="M23" s="595"/>
      <c r="N23" s="595"/>
      <c r="O23" s="596"/>
    </row>
    <row r="24" spans="1:15" x14ac:dyDescent="0.25">
      <c r="A24" s="67"/>
      <c r="B24" s="521"/>
      <c r="C24" s="522"/>
      <c r="D24" s="522"/>
      <c r="E24" s="522"/>
      <c r="F24" s="522"/>
      <c r="G24" s="522"/>
      <c r="H24" s="522"/>
      <c r="I24" s="522"/>
      <c r="J24" s="522"/>
      <c r="K24" s="522"/>
      <c r="L24" s="522"/>
      <c r="M24" s="522"/>
      <c r="N24" s="523"/>
      <c r="O24" s="524"/>
    </row>
    <row r="25" spans="1:15" ht="15.6" x14ac:dyDescent="0.3">
      <c r="A25" s="67"/>
      <c r="B25" s="512" t="s">
        <v>321</v>
      </c>
      <c r="C25" s="107"/>
      <c r="D25" s="22"/>
      <c r="E25" s="22"/>
      <c r="F25" s="22"/>
      <c r="G25" s="22"/>
      <c r="H25" s="22"/>
      <c r="I25" s="22"/>
      <c r="J25" s="22"/>
      <c r="K25" s="22"/>
      <c r="L25" s="22"/>
      <c r="M25" s="22"/>
      <c r="N25" s="100"/>
      <c r="O25" s="513"/>
    </row>
    <row r="26" spans="1:15" ht="6.75" customHeight="1" x14ac:dyDescent="0.25">
      <c r="A26" s="67"/>
      <c r="B26" s="514"/>
      <c r="C26" s="22"/>
      <c r="D26" s="22"/>
      <c r="E26" s="22"/>
      <c r="F26" s="22"/>
      <c r="G26" s="108"/>
      <c r="H26" s="108"/>
      <c r="I26" s="108"/>
      <c r="J26" s="108"/>
      <c r="K26" s="22"/>
      <c r="L26" s="22"/>
      <c r="M26" s="22"/>
      <c r="N26" s="100"/>
      <c r="O26" s="513"/>
    </row>
    <row r="27" spans="1:15" ht="18" customHeight="1" x14ac:dyDescent="0.25">
      <c r="A27" s="67"/>
      <c r="B27" s="515"/>
      <c r="C27" s="21"/>
      <c r="D27" s="570" t="s">
        <v>123</v>
      </c>
      <c r="E27" s="571"/>
      <c r="F27" s="572"/>
      <c r="G27" s="573" t="s">
        <v>27</v>
      </c>
      <c r="H27" s="574"/>
      <c r="I27" s="574"/>
      <c r="J27" s="575"/>
      <c r="K27" s="23"/>
      <c r="L27" s="21"/>
      <c r="M27" s="21"/>
      <c r="N27" s="21"/>
      <c r="O27" s="516"/>
    </row>
    <row r="28" spans="1:15" ht="6" customHeight="1" x14ac:dyDescent="0.25">
      <c r="A28" s="67"/>
      <c r="B28" s="515"/>
      <c r="C28" s="21"/>
      <c r="D28" s="21"/>
      <c r="E28" s="21"/>
      <c r="F28" s="21"/>
      <c r="G28" s="22"/>
      <c r="H28" s="22"/>
      <c r="I28" s="22"/>
      <c r="J28" s="22"/>
      <c r="K28" s="21"/>
      <c r="L28" s="21"/>
      <c r="M28" s="21"/>
      <c r="N28" s="21"/>
      <c r="O28" s="516"/>
    </row>
    <row r="29" spans="1:15" x14ac:dyDescent="0.25">
      <c r="A29" s="67"/>
      <c r="B29" s="515"/>
      <c r="C29" s="579" t="str">
        <f>_xlfn.IFNA(VLOOKUP(G27, FuelDefinitions,2,FALSE),"")</f>
        <v>Anthracite is a high rank coal used for industrial and residential applications. It has generally less than 10 percent volatile matter and a high carbon content (about 90 percent fixed carbon). Its gross calorific value is greater than 23 865 kJ/kg (5 700 kcal/kg) on an ash-free but moist basis.</v>
      </c>
      <c r="D29" s="580"/>
      <c r="E29" s="580"/>
      <c r="F29" s="580"/>
      <c r="G29" s="580"/>
      <c r="H29" s="580"/>
      <c r="I29" s="580"/>
      <c r="J29" s="580"/>
      <c r="K29" s="580"/>
      <c r="L29" s="581"/>
      <c r="M29" s="581"/>
      <c r="N29" s="581"/>
      <c r="O29" s="516"/>
    </row>
    <row r="30" spans="1:15" x14ac:dyDescent="0.25">
      <c r="A30" s="67"/>
      <c r="B30" s="515"/>
      <c r="C30" s="580"/>
      <c r="D30" s="580"/>
      <c r="E30" s="580"/>
      <c r="F30" s="580"/>
      <c r="G30" s="580"/>
      <c r="H30" s="580"/>
      <c r="I30" s="580"/>
      <c r="J30" s="580"/>
      <c r="K30" s="580"/>
      <c r="L30" s="581"/>
      <c r="M30" s="581"/>
      <c r="N30" s="581"/>
      <c r="O30" s="516"/>
    </row>
    <row r="31" spans="1:15" x14ac:dyDescent="0.25">
      <c r="A31" s="67"/>
      <c r="B31" s="515"/>
      <c r="C31" s="580"/>
      <c r="D31" s="580"/>
      <c r="E31" s="580"/>
      <c r="F31" s="580"/>
      <c r="G31" s="580"/>
      <c r="H31" s="580"/>
      <c r="I31" s="580"/>
      <c r="J31" s="580"/>
      <c r="K31" s="580"/>
      <c r="L31" s="581"/>
      <c r="M31" s="581"/>
      <c r="N31" s="581"/>
      <c r="O31" s="516"/>
    </row>
    <row r="32" spans="1:15" x14ac:dyDescent="0.25">
      <c r="A32" s="67"/>
      <c r="B32" s="515"/>
      <c r="C32" s="580"/>
      <c r="D32" s="580"/>
      <c r="E32" s="580"/>
      <c r="F32" s="580"/>
      <c r="G32" s="580"/>
      <c r="H32" s="580"/>
      <c r="I32" s="580"/>
      <c r="J32" s="580"/>
      <c r="K32" s="580"/>
      <c r="L32" s="581"/>
      <c r="M32" s="581"/>
      <c r="N32" s="581"/>
      <c r="O32" s="516"/>
    </row>
    <row r="33" spans="1:15" x14ac:dyDescent="0.25">
      <c r="A33" s="67"/>
      <c r="B33" s="515"/>
      <c r="C33" s="580"/>
      <c r="D33" s="580"/>
      <c r="E33" s="580"/>
      <c r="F33" s="580"/>
      <c r="G33" s="580"/>
      <c r="H33" s="580"/>
      <c r="I33" s="580"/>
      <c r="J33" s="580"/>
      <c r="K33" s="580"/>
      <c r="L33" s="581"/>
      <c r="M33" s="581"/>
      <c r="N33" s="581"/>
      <c r="O33" s="516"/>
    </row>
    <row r="34" spans="1:15" x14ac:dyDescent="0.25">
      <c r="A34" s="67"/>
      <c r="B34" s="515"/>
      <c r="C34" s="580"/>
      <c r="D34" s="580"/>
      <c r="E34" s="580"/>
      <c r="F34" s="580"/>
      <c r="G34" s="580"/>
      <c r="H34" s="580"/>
      <c r="I34" s="580"/>
      <c r="J34" s="580"/>
      <c r="K34" s="580"/>
      <c r="L34" s="581"/>
      <c r="M34" s="581"/>
      <c r="N34" s="581"/>
      <c r="O34" s="516"/>
    </row>
    <row r="35" spans="1:15" ht="33" customHeight="1" x14ac:dyDescent="0.25">
      <c r="A35" s="67"/>
      <c r="B35" s="515"/>
      <c r="C35" s="580"/>
      <c r="D35" s="580"/>
      <c r="E35" s="580"/>
      <c r="F35" s="580"/>
      <c r="G35" s="580"/>
      <c r="H35" s="580"/>
      <c r="I35" s="580"/>
      <c r="J35" s="580"/>
      <c r="K35" s="580"/>
      <c r="L35" s="581"/>
      <c r="M35" s="581"/>
      <c r="N35" s="581"/>
      <c r="O35" s="516"/>
    </row>
    <row r="36" spans="1:15" ht="15.6" x14ac:dyDescent="0.3">
      <c r="A36" s="67"/>
      <c r="B36" s="512" t="s">
        <v>322</v>
      </c>
      <c r="C36" s="394"/>
      <c r="D36" s="395"/>
      <c r="E36" s="109"/>
      <c r="F36" s="109"/>
      <c r="G36" s="109"/>
      <c r="H36" s="109"/>
      <c r="I36" s="109"/>
      <c r="J36" s="109"/>
      <c r="K36" s="109"/>
      <c r="L36" s="21"/>
      <c r="M36" s="21"/>
      <c r="N36" s="21"/>
      <c r="O36" s="516"/>
    </row>
    <row r="37" spans="1:15" ht="12.75" customHeight="1" x14ac:dyDescent="0.25">
      <c r="A37" s="67"/>
      <c r="B37" s="515"/>
      <c r="C37" s="110"/>
      <c r="D37" s="111"/>
      <c r="E37" s="111"/>
      <c r="F37" s="111"/>
      <c r="G37" s="525"/>
      <c r="H37" s="525"/>
      <c r="I37" s="525"/>
      <c r="J37" s="525"/>
      <c r="K37" s="111"/>
      <c r="L37" s="83"/>
      <c r="M37" s="83"/>
      <c r="N37" s="83"/>
      <c r="O37" s="516"/>
    </row>
    <row r="38" spans="1:15" ht="17.25" customHeight="1" x14ac:dyDescent="0.25">
      <c r="A38" s="67"/>
      <c r="B38" s="515"/>
      <c r="C38" s="110"/>
      <c r="D38" s="582" t="s">
        <v>323</v>
      </c>
      <c r="E38" s="583"/>
      <c r="F38" s="583"/>
      <c r="G38" s="584" t="s">
        <v>43</v>
      </c>
      <c r="H38" s="585"/>
      <c r="I38" s="586"/>
      <c r="J38" s="587"/>
      <c r="K38" s="112"/>
      <c r="L38" s="83"/>
      <c r="M38" s="83"/>
      <c r="N38" s="83"/>
      <c r="O38" s="516"/>
    </row>
    <row r="39" spans="1:15" ht="15" x14ac:dyDescent="0.25">
      <c r="A39" s="67"/>
      <c r="B39" s="514"/>
      <c r="C39" s="101"/>
      <c r="D39" s="101"/>
      <c r="E39" s="101"/>
      <c r="F39" s="101"/>
      <c r="G39" s="101"/>
      <c r="H39" s="101"/>
      <c r="I39" s="101"/>
      <c r="J39" s="101"/>
      <c r="K39" s="101"/>
      <c r="L39" s="101"/>
      <c r="M39" s="102"/>
      <c r="N39" s="101"/>
      <c r="O39" s="513"/>
    </row>
    <row r="40" spans="1:15" x14ac:dyDescent="0.25">
      <c r="A40" s="67"/>
      <c r="B40" s="514"/>
      <c r="C40" s="564" t="str">
        <f>_xlfn.IFNA(VLOOKUP(G38, sectorDefinitions, 2, FALSE),"")</f>
        <v xml:space="preserve">Fuel extraction or energy-producing industries. Examples include public utilities and petroleum refineries, as well as industries that generate secondary and tertiary products, such as charcoal, from solid fuels. </v>
      </c>
      <c r="D40" s="565"/>
      <c r="E40" s="565"/>
      <c r="F40" s="565"/>
      <c r="G40" s="565"/>
      <c r="H40" s="565"/>
      <c r="I40" s="565"/>
      <c r="J40" s="565"/>
      <c r="K40" s="565"/>
      <c r="L40" s="565"/>
      <c r="M40" s="565"/>
      <c r="N40" s="566"/>
      <c r="O40" s="513"/>
    </row>
    <row r="41" spans="1:15" ht="51" customHeight="1" x14ac:dyDescent="0.25">
      <c r="A41" s="67"/>
      <c r="B41" s="514"/>
      <c r="C41" s="567"/>
      <c r="D41" s="568"/>
      <c r="E41" s="568"/>
      <c r="F41" s="568"/>
      <c r="G41" s="568"/>
      <c r="H41" s="568"/>
      <c r="I41" s="568"/>
      <c r="J41" s="568"/>
      <c r="K41" s="568"/>
      <c r="L41" s="568"/>
      <c r="M41" s="568"/>
      <c r="N41" s="569"/>
      <c r="O41" s="513"/>
    </row>
    <row r="42" spans="1:15" ht="21" customHeight="1" thickBot="1" x14ac:dyDescent="0.3">
      <c r="A42" s="67"/>
      <c r="B42" s="517"/>
      <c r="C42" s="561" t="s">
        <v>767</v>
      </c>
      <c r="D42" s="562"/>
      <c r="E42" s="562"/>
      <c r="F42" s="562"/>
      <c r="G42" s="562"/>
      <c r="H42" s="562"/>
      <c r="I42" s="562"/>
      <c r="J42" s="562"/>
      <c r="K42" s="563"/>
      <c r="L42" s="518"/>
      <c r="M42" s="518"/>
      <c r="N42" s="519"/>
      <c r="O42" s="520"/>
    </row>
    <row r="43" spans="1:15" ht="14.25" customHeight="1" x14ac:dyDescent="0.25">
      <c r="A43" s="67"/>
      <c r="B43" s="22"/>
      <c r="C43" s="511"/>
      <c r="D43" s="511"/>
      <c r="E43" s="511"/>
      <c r="F43" s="511"/>
      <c r="G43" s="511"/>
      <c r="H43" s="511"/>
      <c r="I43" s="511"/>
      <c r="J43" s="511"/>
      <c r="K43" s="511"/>
      <c r="L43" s="511"/>
      <c r="M43" s="511"/>
      <c r="N43" s="511"/>
      <c r="O43" s="22"/>
    </row>
    <row r="44" spans="1:15" ht="36" customHeight="1" x14ac:dyDescent="0.25">
      <c r="A44" s="106" t="s">
        <v>190</v>
      </c>
      <c r="B44" s="21"/>
      <c r="C44" s="109"/>
      <c r="D44" s="109"/>
      <c r="E44" s="109"/>
      <c r="F44" s="109"/>
      <c r="G44" s="109"/>
      <c r="H44" s="109"/>
      <c r="I44" s="109"/>
      <c r="J44" s="109"/>
      <c r="K44" s="109"/>
      <c r="L44" s="109"/>
      <c r="M44" s="109"/>
      <c r="N44" s="109"/>
      <c r="O44" s="21"/>
    </row>
    <row r="45" spans="1:15" ht="8.25" customHeight="1" x14ac:dyDescent="0.25">
      <c r="A45" s="67"/>
      <c r="B45" s="21"/>
      <c r="C45" s="109"/>
      <c r="D45" s="109"/>
      <c r="E45" s="109"/>
      <c r="F45" s="109"/>
      <c r="G45" s="109"/>
      <c r="H45" s="109"/>
      <c r="I45" s="109"/>
      <c r="J45" s="109"/>
      <c r="K45" s="109"/>
      <c r="L45" s="109"/>
      <c r="M45" s="109"/>
      <c r="N45" s="109"/>
      <c r="O45" s="21"/>
    </row>
    <row r="46" spans="1:15" ht="15.75" customHeight="1" x14ac:dyDescent="0.25">
      <c r="A46" s="67"/>
      <c r="B46" s="21"/>
      <c r="C46" s="109"/>
      <c r="D46" s="109"/>
      <c r="E46" s="109"/>
      <c r="F46" s="109"/>
      <c r="G46" s="109"/>
      <c r="H46" s="109"/>
      <c r="I46" s="109"/>
      <c r="J46" s="109"/>
      <c r="K46" s="109"/>
      <c r="L46" s="109"/>
      <c r="M46" s="109"/>
      <c r="N46" s="109"/>
      <c r="O46" s="21"/>
    </row>
    <row r="47" spans="1:15" ht="7.5" customHeight="1" x14ac:dyDescent="0.25">
      <c r="A47" s="21"/>
      <c r="B47" s="22"/>
      <c r="C47" s="101"/>
      <c r="D47" s="101"/>
      <c r="E47" s="101"/>
      <c r="F47" s="101"/>
      <c r="G47" s="101"/>
      <c r="H47" s="101"/>
      <c r="I47" s="101"/>
      <c r="J47" s="101"/>
      <c r="K47" s="101"/>
      <c r="L47" s="101"/>
      <c r="M47" s="101"/>
      <c r="N47" s="101"/>
      <c r="O47" s="22"/>
    </row>
    <row r="48" spans="1:15" ht="34.799999999999997" x14ac:dyDescent="0.55000000000000004">
      <c r="A48" s="113" t="s">
        <v>190</v>
      </c>
      <c r="B48" s="22"/>
      <c r="C48" s="101"/>
      <c r="D48" s="101"/>
      <c r="E48" s="101"/>
      <c r="F48" s="101"/>
      <c r="G48" s="101"/>
      <c r="H48" s="101"/>
      <c r="I48" s="101"/>
      <c r="J48" s="101"/>
      <c r="K48" s="101"/>
      <c r="L48" s="101"/>
      <c r="M48" s="101"/>
      <c r="N48" s="101"/>
      <c r="O48" s="22"/>
    </row>
    <row r="49" spans="1:15" ht="15" x14ac:dyDescent="0.25">
      <c r="A49" s="21"/>
      <c r="B49" s="22"/>
      <c r="C49" s="101"/>
      <c r="D49" s="101"/>
      <c r="E49" s="101"/>
      <c r="F49" s="101"/>
      <c r="G49" s="101"/>
      <c r="H49" s="101"/>
      <c r="I49" s="101"/>
      <c r="J49" s="101"/>
      <c r="K49" s="101"/>
      <c r="L49" s="101"/>
      <c r="M49" s="101"/>
      <c r="N49" s="101"/>
      <c r="O49" s="22"/>
    </row>
    <row r="50" spans="1:15" ht="15" x14ac:dyDescent="0.25">
      <c r="A50" s="21"/>
      <c r="B50" s="22"/>
      <c r="C50" s="101"/>
      <c r="D50" s="101"/>
      <c r="E50" s="101"/>
      <c r="F50" s="101"/>
      <c r="G50" s="101"/>
      <c r="H50" s="101"/>
      <c r="I50" s="101"/>
      <c r="J50" s="101"/>
      <c r="K50" s="101"/>
      <c r="L50" s="101"/>
      <c r="M50" s="101"/>
      <c r="N50" s="101"/>
      <c r="O50" s="22"/>
    </row>
    <row r="51" spans="1:15" ht="15" x14ac:dyDescent="0.25">
      <c r="A51" s="21"/>
      <c r="B51" s="21"/>
      <c r="C51" s="83"/>
      <c r="D51" s="83"/>
      <c r="E51" s="83"/>
      <c r="F51" s="83"/>
      <c r="G51" s="83"/>
      <c r="H51" s="83"/>
      <c r="I51" s="83"/>
      <c r="J51" s="83"/>
      <c r="K51" s="83"/>
      <c r="L51" s="83"/>
      <c r="M51" s="83"/>
      <c r="N51" s="83"/>
      <c r="O51" s="21"/>
    </row>
    <row r="52" spans="1:15" x14ac:dyDescent="0.25">
      <c r="A52" s="21"/>
      <c r="B52" s="21"/>
      <c r="C52" s="21"/>
      <c r="D52" s="21"/>
      <c r="E52" s="21"/>
      <c r="F52" s="21"/>
      <c r="G52" s="21"/>
      <c r="H52" s="21"/>
      <c r="I52" s="21"/>
      <c r="J52" s="21"/>
      <c r="K52" s="21"/>
      <c r="L52" s="21"/>
      <c r="M52" s="21"/>
      <c r="N52" s="21"/>
      <c r="O52" s="21"/>
    </row>
    <row r="53" spans="1:15" x14ac:dyDescent="0.25">
      <c r="A53" s="21"/>
      <c r="B53" s="21"/>
      <c r="C53" s="21"/>
      <c r="D53" s="21"/>
      <c r="E53" s="21"/>
      <c r="F53" s="21"/>
      <c r="G53" s="21"/>
      <c r="H53" s="21"/>
      <c r="I53" s="21"/>
      <c r="J53" s="21"/>
      <c r="K53" s="21"/>
      <c r="L53" s="21"/>
      <c r="M53" s="21"/>
      <c r="N53" s="21"/>
      <c r="O53" s="21"/>
    </row>
    <row r="54" spans="1:15" x14ac:dyDescent="0.25">
      <c r="A54" s="21"/>
      <c r="B54" s="21"/>
      <c r="C54" s="21"/>
      <c r="D54" s="21"/>
      <c r="E54" s="21"/>
      <c r="F54" s="21"/>
      <c r="G54" s="21"/>
      <c r="H54" s="21"/>
      <c r="I54" s="21"/>
      <c r="J54" s="21"/>
      <c r="K54" s="21"/>
      <c r="L54" s="21"/>
      <c r="M54" s="21"/>
      <c r="N54" s="21"/>
      <c r="O54" s="21"/>
    </row>
    <row r="55" spans="1:15" x14ac:dyDescent="0.25">
      <c r="A55" s="21"/>
      <c r="B55" s="21"/>
      <c r="C55" s="21"/>
      <c r="D55" s="21"/>
      <c r="E55" s="21"/>
      <c r="F55" s="21"/>
      <c r="G55" s="21"/>
      <c r="H55" s="21"/>
      <c r="I55" s="21"/>
      <c r="J55" s="21"/>
      <c r="K55" s="21"/>
      <c r="L55" s="21"/>
      <c r="M55" s="21"/>
      <c r="N55" s="21"/>
      <c r="O55" s="21"/>
    </row>
    <row r="56" spans="1:15" x14ac:dyDescent="0.25">
      <c r="A56" s="21"/>
      <c r="B56" s="21"/>
      <c r="C56" s="21"/>
      <c r="D56" s="21"/>
      <c r="E56" s="21"/>
      <c r="F56" s="21"/>
      <c r="G56" s="21"/>
      <c r="H56" s="21"/>
      <c r="I56" s="21"/>
      <c r="J56" s="21"/>
      <c r="K56" s="21"/>
      <c r="L56" s="21"/>
      <c r="M56" s="21"/>
      <c r="N56" s="21"/>
      <c r="O56" s="21"/>
    </row>
    <row r="57" spans="1:15" x14ac:dyDescent="0.25">
      <c r="A57" s="21"/>
      <c r="B57" s="21"/>
      <c r="C57" s="21"/>
      <c r="D57" s="21"/>
      <c r="E57" s="21"/>
      <c r="F57" s="21"/>
      <c r="G57" s="21"/>
      <c r="H57" s="21"/>
      <c r="I57" s="21"/>
      <c r="J57" s="21"/>
      <c r="K57" s="21"/>
      <c r="L57" s="21"/>
      <c r="M57" s="21"/>
      <c r="N57" s="21"/>
      <c r="O57" s="21"/>
    </row>
    <row r="58" spans="1:15" ht="29.25" customHeight="1" x14ac:dyDescent="0.55000000000000004">
      <c r="A58" s="113" t="s">
        <v>190</v>
      </c>
      <c r="B58" s="21"/>
      <c r="C58" s="21"/>
      <c r="D58" s="21"/>
      <c r="E58" s="21"/>
      <c r="F58" s="21"/>
      <c r="G58" s="21"/>
      <c r="H58" s="21"/>
      <c r="I58" s="21"/>
      <c r="J58" s="21"/>
      <c r="K58" s="21"/>
      <c r="L58" s="21"/>
      <c r="M58" s="21"/>
      <c r="N58" s="21"/>
      <c r="O58" s="21"/>
    </row>
    <row r="59" spans="1:15" ht="19.5" customHeight="1" x14ac:dyDescent="0.25">
      <c r="A59" s="114"/>
      <c r="B59" s="21"/>
      <c r="C59" s="21"/>
      <c r="D59" s="21"/>
      <c r="E59" s="21"/>
      <c r="F59" s="21"/>
      <c r="G59" s="21"/>
      <c r="H59" s="21"/>
      <c r="I59" s="21"/>
      <c r="J59" s="21"/>
      <c r="K59" s="21"/>
      <c r="L59" s="21"/>
      <c r="M59" s="21"/>
      <c r="N59" s="21"/>
    </row>
    <row r="60" spans="1:15" ht="34.799999999999997" x14ac:dyDescent="0.25">
      <c r="A60" s="114"/>
      <c r="B60" s="21"/>
      <c r="C60" s="21"/>
      <c r="D60" s="21"/>
      <c r="E60" s="21"/>
      <c r="F60" s="21"/>
      <c r="G60" s="21"/>
      <c r="H60" s="21"/>
      <c r="I60" s="21"/>
      <c r="J60" s="21"/>
      <c r="K60" s="21"/>
      <c r="L60" s="21"/>
      <c r="M60" s="21"/>
      <c r="N60" s="21"/>
    </row>
    <row r="61" spans="1:15" x14ac:dyDescent="0.25">
      <c r="A61" s="21"/>
      <c r="B61" s="21"/>
      <c r="C61" s="21"/>
      <c r="D61" s="21"/>
      <c r="E61" s="21"/>
      <c r="F61" s="21"/>
      <c r="G61" s="21"/>
      <c r="H61" s="21"/>
      <c r="I61" s="21"/>
      <c r="J61" s="21"/>
      <c r="K61" s="21"/>
      <c r="L61" s="21"/>
      <c r="M61" s="21"/>
      <c r="N61" s="21"/>
    </row>
    <row r="62" spans="1:15" x14ac:dyDescent="0.25">
      <c r="A62" s="21"/>
      <c r="B62" s="21"/>
      <c r="C62" s="21"/>
      <c r="D62" s="21"/>
      <c r="E62" s="21"/>
      <c r="F62" s="21"/>
      <c r="G62" s="21"/>
      <c r="H62" s="21"/>
      <c r="I62" s="21"/>
      <c r="J62" s="21"/>
      <c r="K62" s="21"/>
      <c r="L62" s="21"/>
      <c r="M62" s="21"/>
      <c r="N62" s="21"/>
    </row>
    <row r="63" spans="1:15" x14ac:dyDescent="0.25">
      <c r="A63" s="21"/>
      <c r="B63" s="21"/>
      <c r="C63" s="21"/>
      <c r="D63" s="21"/>
      <c r="E63" s="21"/>
      <c r="F63" s="21"/>
      <c r="G63" s="21"/>
      <c r="H63" s="21"/>
      <c r="I63" s="21"/>
      <c r="J63" s="21"/>
      <c r="K63" s="21"/>
      <c r="L63" s="21"/>
      <c r="M63" s="21"/>
      <c r="N63" s="21"/>
    </row>
    <row r="64" spans="1:15" x14ac:dyDescent="0.25">
      <c r="A64" s="21"/>
      <c r="B64" s="21"/>
      <c r="C64" s="21"/>
      <c r="D64" s="21"/>
      <c r="E64" s="21"/>
      <c r="F64" s="21"/>
      <c r="G64" s="21"/>
      <c r="H64" s="21"/>
      <c r="I64" s="21"/>
      <c r="J64" s="21"/>
      <c r="K64" s="21"/>
      <c r="L64" s="21"/>
      <c r="M64" s="21"/>
      <c r="N64" s="21"/>
    </row>
    <row r="65" spans="1:14" x14ac:dyDescent="0.25">
      <c r="A65" s="21"/>
      <c r="B65" s="21"/>
      <c r="C65" s="21"/>
      <c r="D65" s="21"/>
      <c r="E65" s="21"/>
      <c r="F65" s="21"/>
      <c r="G65" s="21"/>
      <c r="H65" s="21"/>
      <c r="I65" s="21"/>
      <c r="J65" s="21"/>
      <c r="K65" s="21"/>
      <c r="L65" s="21"/>
      <c r="M65" s="21"/>
      <c r="N65" s="21"/>
    </row>
    <row r="66" spans="1:14" x14ac:dyDescent="0.25">
      <c r="A66" s="21"/>
      <c r="B66" s="21"/>
      <c r="C66" s="21"/>
      <c r="D66" s="21"/>
      <c r="E66" s="21"/>
      <c r="F66" s="21"/>
      <c r="G66" s="21"/>
      <c r="H66" s="21"/>
      <c r="I66" s="21"/>
      <c r="J66" s="21"/>
      <c r="K66" s="21"/>
      <c r="L66" s="21"/>
    </row>
    <row r="67" spans="1:14" x14ac:dyDescent="0.25">
      <c r="A67" s="21"/>
      <c r="B67" s="21"/>
      <c r="C67" s="21"/>
      <c r="D67" s="21"/>
      <c r="E67" s="21"/>
      <c r="F67" s="21"/>
      <c r="G67" s="21"/>
      <c r="H67" s="21"/>
      <c r="I67" s="21"/>
      <c r="J67" s="21"/>
      <c r="K67" s="21"/>
      <c r="L67" s="21"/>
    </row>
    <row r="68" spans="1:14" x14ac:dyDescent="0.25">
      <c r="A68" s="21"/>
      <c r="B68" s="21"/>
      <c r="C68" s="21"/>
      <c r="D68" s="21"/>
      <c r="E68" s="21"/>
      <c r="F68" s="21"/>
      <c r="G68" s="21"/>
      <c r="H68" s="21"/>
      <c r="I68" s="21"/>
      <c r="J68" s="21"/>
      <c r="K68" s="21"/>
      <c r="L68" s="21"/>
    </row>
    <row r="69" spans="1:14" x14ac:dyDescent="0.25">
      <c r="A69" s="21"/>
      <c r="B69" s="21"/>
      <c r="C69" s="21"/>
      <c r="D69" s="21"/>
      <c r="E69" s="21"/>
      <c r="F69" s="21"/>
      <c r="G69" s="21"/>
      <c r="H69" s="21"/>
      <c r="I69" s="21"/>
      <c r="J69" s="21"/>
      <c r="K69" s="21"/>
      <c r="L69" s="21"/>
    </row>
    <row r="70" spans="1:14" x14ac:dyDescent="0.25">
      <c r="A70" s="21"/>
      <c r="B70" s="21"/>
      <c r="C70" s="21"/>
      <c r="D70" s="21"/>
      <c r="E70" s="21"/>
      <c r="F70" s="21"/>
      <c r="G70" s="21"/>
      <c r="H70" s="21"/>
      <c r="I70" s="21"/>
      <c r="J70" s="21"/>
      <c r="K70" s="21"/>
      <c r="L70" s="21"/>
    </row>
    <row r="71" spans="1:14" x14ac:dyDescent="0.25">
      <c r="A71" s="21"/>
      <c r="B71" s="21"/>
      <c r="C71" s="21"/>
      <c r="D71" s="21"/>
      <c r="E71" s="21"/>
      <c r="F71" s="21"/>
      <c r="G71" s="21"/>
      <c r="H71" s="21"/>
      <c r="I71" s="21"/>
      <c r="J71" s="21"/>
      <c r="K71" s="21"/>
      <c r="L71" s="21"/>
    </row>
    <row r="72" spans="1:14" x14ac:dyDescent="0.25">
      <c r="A72" s="21"/>
      <c r="B72" s="21"/>
      <c r="C72" s="21"/>
      <c r="D72" s="21"/>
      <c r="E72" s="21"/>
      <c r="F72" s="21"/>
      <c r="G72" s="21"/>
      <c r="H72" s="21"/>
      <c r="I72" s="21"/>
      <c r="J72" s="21"/>
      <c r="K72" s="21"/>
      <c r="L72" s="21"/>
    </row>
    <row r="73" spans="1:14" ht="10.5" customHeight="1" x14ac:dyDescent="0.25"/>
  </sheetData>
  <sheetProtection algorithmName="SHA-512" hashValue="6DyslXhUM+onJcmQDnpEWJ+mAB/sOlgRrmEsFKConkq+2U5rxOKzGiD4JnuzlWFMRNW53h40f4jYrdnamQD0Yg==" saltValue="G9g8SrCz+cP4ACfLtSqK5w==" spinCount="100000" sheet="1" objects="1" scenarios="1"/>
  <mergeCells count="10">
    <mergeCell ref="C42:K42"/>
    <mergeCell ref="C40:N41"/>
    <mergeCell ref="D27:F27"/>
    <mergeCell ref="G27:J27"/>
    <mergeCell ref="B18:J18"/>
    <mergeCell ref="C29:N35"/>
    <mergeCell ref="D38:F38"/>
    <mergeCell ref="G38:J38"/>
    <mergeCell ref="B21:O22"/>
    <mergeCell ref="B23:O23"/>
  </mergeCells>
  <phoneticPr fontId="3" type="noConversion"/>
  <dataValidations count="2">
    <dataValidation type="list" allowBlank="1" showInputMessage="1" showErrorMessage="1" sqref="G27" xr:uid="{00000000-0002-0000-0000-000000000000}">
      <formula1>Fuels</formula1>
    </dataValidation>
    <dataValidation type="list" allowBlank="1" showInputMessage="1" showErrorMessage="1" sqref="G38" xr:uid="{00000000-0002-0000-0000-000001000000}">
      <formula1>Industries</formula1>
    </dataValidation>
  </dataValidations>
  <hyperlinks>
    <hyperlink ref="B18" r:id="rId1" display="(Click here to visit the WRI GHG Protocol tools website.)" xr:uid="{00000000-0004-0000-0000-000000000000}"/>
  </hyperlinks>
  <pageMargins left="0.75" right="0.75" top="1" bottom="1" header="0.5" footer="0.5"/>
  <pageSetup orientation="portrait"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ACA2"/>
  </sheetPr>
  <dimension ref="A4:S75"/>
  <sheetViews>
    <sheetView showGridLines="0" showRowColHeaders="0" zoomScaleNormal="100" workbookViewId="0">
      <selection activeCell="Q6" sqref="Q6"/>
    </sheetView>
  </sheetViews>
  <sheetFormatPr defaultRowHeight="13.2" x14ac:dyDescent="0.25"/>
  <cols>
    <col min="1" max="1" width="8.5546875" style="526" customWidth="1"/>
    <col min="2" max="2" width="35.44140625" customWidth="1"/>
    <col min="3" max="3" width="19.88671875" customWidth="1"/>
    <col min="4" max="4" width="15.6640625" style="132" customWidth="1"/>
    <col min="5" max="5" width="22.6640625" customWidth="1"/>
    <col min="6" max="6" width="21.44140625" customWidth="1"/>
    <col min="7" max="7" width="31.33203125" bestFit="1" customWidth="1"/>
    <col min="8" max="8" width="19.109375" bestFit="1" customWidth="1"/>
    <col min="9" max="9" width="18.33203125" hidden="1" customWidth="1"/>
    <col min="10" max="14" width="20.6640625" hidden="1" customWidth="1"/>
    <col min="15" max="15" width="7" hidden="1" customWidth="1"/>
    <col min="16" max="16" width="11.109375" hidden="1" customWidth="1"/>
    <col min="17" max="17" width="22.6640625" customWidth="1"/>
    <col min="18" max="18" width="31.5546875" customWidth="1"/>
    <col min="19" max="19" width="24.6640625" customWidth="1"/>
    <col min="20" max="20" width="16" customWidth="1"/>
  </cols>
  <sheetData>
    <row r="4" spans="1:18" ht="47.25" customHeight="1" x14ac:dyDescent="0.25">
      <c r="B4" s="597" t="s">
        <v>310</v>
      </c>
      <c r="C4" s="598"/>
      <c r="D4" s="598"/>
      <c r="E4" s="598"/>
      <c r="F4" s="598"/>
      <c r="G4" s="598"/>
      <c r="H4" s="598"/>
      <c r="I4" s="598"/>
    </row>
    <row r="5" spans="1:18" ht="31.5" customHeight="1" x14ac:dyDescent="0.25">
      <c r="A5" s="432"/>
      <c r="B5" s="248" t="s">
        <v>739</v>
      </c>
      <c r="D5" s="249"/>
    </row>
    <row r="6" spans="1:18" ht="66.75" customHeight="1" thickBot="1" x14ac:dyDescent="0.3">
      <c r="B6" s="597" t="s">
        <v>759</v>
      </c>
      <c r="C6" s="598"/>
      <c r="D6" s="598"/>
      <c r="E6" s="598"/>
      <c r="F6" s="598"/>
      <c r="G6" s="598"/>
      <c r="H6" s="598"/>
      <c r="I6" s="598"/>
    </row>
    <row r="7" spans="1:18" ht="19.5" customHeight="1" thickBot="1" x14ac:dyDescent="0.35">
      <c r="B7" s="62" t="s">
        <v>546</v>
      </c>
      <c r="C7" s="630" t="s">
        <v>725</v>
      </c>
      <c r="D7" s="631"/>
      <c r="E7" s="632"/>
      <c r="I7" s="250"/>
      <c r="J7" s="250"/>
      <c r="K7" s="250"/>
      <c r="L7" s="250"/>
      <c r="M7" s="250"/>
      <c r="N7" s="250"/>
      <c r="O7" s="250"/>
      <c r="P7" s="250"/>
      <c r="Q7" s="250"/>
      <c r="R7" s="250"/>
    </row>
    <row r="8" spans="1:18" ht="35.25" customHeight="1" x14ac:dyDescent="0.25">
      <c r="B8" s="597" t="s">
        <v>687</v>
      </c>
      <c r="C8" s="606"/>
      <c r="D8" s="606"/>
      <c r="E8" s="606"/>
      <c r="F8" s="606"/>
      <c r="G8" s="606"/>
      <c r="H8" s="606"/>
      <c r="I8" s="250"/>
      <c r="J8" s="250"/>
      <c r="K8" s="250"/>
      <c r="L8" s="250"/>
      <c r="M8" s="250"/>
      <c r="N8" s="250"/>
      <c r="O8" s="250"/>
      <c r="P8" s="250"/>
      <c r="Q8" s="250"/>
      <c r="R8" s="250"/>
    </row>
    <row r="9" spans="1:18" ht="36" customHeight="1" x14ac:dyDescent="0.25">
      <c r="A9" s="432"/>
      <c r="B9" s="248" t="s">
        <v>768</v>
      </c>
      <c r="C9" s="29"/>
      <c r="D9" s="170"/>
      <c r="E9" s="249"/>
      <c r="F9" s="29"/>
      <c r="G9" s="29"/>
      <c r="H9" s="29"/>
      <c r="I9" s="29"/>
    </row>
    <row r="10" spans="1:18" ht="62.25" customHeight="1" x14ac:dyDescent="0.25">
      <c r="B10" s="597" t="s">
        <v>771</v>
      </c>
      <c r="C10" s="597"/>
      <c r="D10" s="597"/>
      <c r="E10" s="597"/>
      <c r="F10" s="597"/>
      <c r="G10" s="597"/>
      <c r="H10" s="597"/>
      <c r="I10" s="597"/>
      <c r="J10" s="132"/>
      <c r="K10" s="132"/>
      <c r="L10" s="132"/>
      <c r="M10" s="132"/>
      <c r="N10" s="132"/>
      <c r="O10" s="132"/>
      <c r="P10" s="132"/>
      <c r="R10" s="132"/>
    </row>
    <row r="11" spans="1:18" ht="15.6" thickBot="1" x14ac:dyDescent="0.3">
      <c r="B11" s="117"/>
      <c r="D11"/>
    </row>
    <row r="12" spans="1:18" ht="15.75" customHeight="1" thickBot="1" x14ac:dyDescent="0.3">
      <c r="C12" s="607" t="s">
        <v>766</v>
      </c>
      <c r="D12" s="608"/>
      <c r="E12" s="609"/>
    </row>
    <row r="13" spans="1:18" ht="23.25" customHeight="1" thickBot="1" x14ac:dyDescent="0.3">
      <c r="B13" s="491" t="s">
        <v>641</v>
      </c>
      <c r="C13" s="490" t="s">
        <v>639</v>
      </c>
      <c r="D13" s="488" t="s">
        <v>638</v>
      </c>
      <c r="E13" s="489" t="s">
        <v>769</v>
      </c>
    </row>
    <row r="14" spans="1:18" ht="18" customHeight="1" thickBot="1" x14ac:dyDescent="0.3">
      <c r="B14" s="622" t="s">
        <v>765</v>
      </c>
      <c r="C14" s="623"/>
      <c r="D14" s="623"/>
      <c r="E14" s="624"/>
    </row>
    <row r="15" spans="1:18" ht="16.2" x14ac:dyDescent="0.25">
      <c r="B15" s="485" t="s">
        <v>399</v>
      </c>
      <c r="C15" s="486">
        <v>0.70445880999999999</v>
      </c>
      <c r="D15" s="486" t="s">
        <v>640</v>
      </c>
      <c r="E15" s="487" t="s">
        <v>740</v>
      </c>
    </row>
    <row r="16" spans="1:18" ht="16.2" x14ac:dyDescent="0.25">
      <c r="B16" s="478" t="s">
        <v>32</v>
      </c>
      <c r="C16" s="475"/>
      <c r="D16" s="474"/>
      <c r="E16" s="479"/>
    </row>
    <row r="17" spans="2:5" ht="16.2" x14ac:dyDescent="0.25">
      <c r="B17" s="478" t="s">
        <v>31</v>
      </c>
      <c r="C17" s="475"/>
      <c r="D17" s="474"/>
      <c r="E17" s="479"/>
    </row>
    <row r="18" spans="2:5" ht="16.2" x14ac:dyDescent="0.25">
      <c r="B18" s="478" t="s">
        <v>397</v>
      </c>
      <c r="C18" s="474">
        <v>0.87345679012345701</v>
      </c>
      <c r="D18" s="474" t="s">
        <v>640</v>
      </c>
      <c r="E18" s="479" t="s">
        <v>740</v>
      </c>
    </row>
    <row r="19" spans="2:5" ht="16.2" x14ac:dyDescent="0.25">
      <c r="B19" s="478" t="s">
        <v>23</v>
      </c>
      <c r="C19" s="475"/>
      <c r="D19" s="474"/>
      <c r="E19" s="479"/>
    </row>
    <row r="20" spans="2:5" ht="16.2" x14ac:dyDescent="0.25">
      <c r="B20" s="478" t="s">
        <v>384</v>
      </c>
      <c r="C20" s="474">
        <v>0.91328052400000004</v>
      </c>
      <c r="D20" s="474" t="s">
        <v>640</v>
      </c>
      <c r="E20" s="479" t="s">
        <v>740</v>
      </c>
    </row>
    <row r="21" spans="2:5" ht="16.2" x14ac:dyDescent="0.25">
      <c r="B21" s="478" t="s">
        <v>425</v>
      </c>
      <c r="C21" s="474">
        <v>0.70445880999999999</v>
      </c>
      <c r="D21" s="474" t="s">
        <v>640</v>
      </c>
      <c r="E21" s="479" t="s">
        <v>740</v>
      </c>
    </row>
    <row r="22" spans="2:5" ht="16.2" x14ac:dyDescent="0.25">
      <c r="B22" s="478" t="s">
        <v>400</v>
      </c>
      <c r="C22" s="474">
        <v>0.81556195965417866</v>
      </c>
      <c r="D22" s="474" t="s">
        <v>640</v>
      </c>
      <c r="E22" s="479" t="s">
        <v>740</v>
      </c>
    </row>
    <row r="23" spans="2:5" ht="16.2" x14ac:dyDescent="0.25">
      <c r="B23" s="478" t="s">
        <v>386</v>
      </c>
      <c r="C23" s="474">
        <v>0.49354726194628523</v>
      </c>
      <c r="D23" s="474" t="s">
        <v>640</v>
      </c>
      <c r="E23" s="479" t="s">
        <v>740</v>
      </c>
    </row>
    <row r="24" spans="2:5" ht="16.2" x14ac:dyDescent="0.25">
      <c r="B24" s="478" t="s">
        <v>26</v>
      </c>
      <c r="C24" s="474">
        <v>0.89818497799999997</v>
      </c>
      <c r="D24" s="474" t="s">
        <v>640</v>
      </c>
      <c r="E24" s="479" t="s">
        <v>740</v>
      </c>
    </row>
    <row r="25" spans="2:5" ht="16.2" x14ac:dyDescent="0.25">
      <c r="B25" s="478" t="s">
        <v>398</v>
      </c>
      <c r="C25" s="474">
        <v>0.74534257599999998</v>
      </c>
      <c r="D25" s="474" t="s">
        <v>640</v>
      </c>
      <c r="E25" s="479" t="s">
        <v>740</v>
      </c>
    </row>
    <row r="26" spans="2:5" ht="16.2" x14ac:dyDescent="0.25">
      <c r="B26" s="478" t="s">
        <v>24</v>
      </c>
      <c r="C26" s="474">
        <v>0.72836008699999999</v>
      </c>
      <c r="D26" s="474" t="s">
        <v>640</v>
      </c>
      <c r="E26" s="479" t="s">
        <v>740</v>
      </c>
    </row>
    <row r="27" spans="2:5" ht="16.2" x14ac:dyDescent="0.25">
      <c r="B27" s="478" t="s">
        <v>406</v>
      </c>
      <c r="C27" s="475"/>
      <c r="D27" s="474"/>
      <c r="E27" s="479"/>
    </row>
    <row r="28" spans="2:5" ht="16.2" x14ac:dyDescent="0.25">
      <c r="B28" s="478" t="s">
        <v>29</v>
      </c>
      <c r="C28" s="475"/>
      <c r="D28" s="474"/>
      <c r="E28" s="479"/>
    </row>
    <row r="29" spans="2:5" ht="16.2" x14ac:dyDescent="0.25">
      <c r="B29" s="478" t="s">
        <v>22</v>
      </c>
      <c r="C29" s="475"/>
      <c r="D29" s="474"/>
      <c r="E29" s="479"/>
    </row>
    <row r="30" spans="2:5" ht="16.2" x14ac:dyDescent="0.25">
      <c r="B30" s="478" t="s">
        <v>401</v>
      </c>
      <c r="C30" s="474">
        <v>0.84832134292565942</v>
      </c>
      <c r="D30" s="474" t="s">
        <v>640</v>
      </c>
      <c r="E30" s="479" t="s">
        <v>740</v>
      </c>
    </row>
    <row r="31" spans="2:5" ht="16.2" x14ac:dyDescent="0.25">
      <c r="B31" s="478" t="s">
        <v>422</v>
      </c>
      <c r="C31" s="475"/>
      <c r="D31" s="474"/>
      <c r="E31" s="479"/>
    </row>
    <row r="32" spans="2:5" ht="16.2" x14ac:dyDescent="0.25">
      <c r="B32" s="478" t="s">
        <v>409</v>
      </c>
      <c r="C32" s="475"/>
      <c r="D32" s="474"/>
      <c r="E32" s="479"/>
    </row>
    <row r="33" spans="1:8" ht="16.2" x14ac:dyDescent="0.25">
      <c r="B33" s="478" t="s">
        <v>408</v>
      </c>
      <c r="C33" s="475"/>
      <c r="D33" s="474"/>
      <c r="E33" s="479"/>
    </row>
    <row r="34" spans="1:8" ht="16.2" x14ac:dyDescent="0.25">
      <c r="B34" s="478" t="s">
        <v>385</v>
      </c>
      <c r="C34" s="474">
        <v>0.96108308600000003</v>
      </c>
      <c r="D34" s="474" t="s">
        <v>640</v>
      </c>
      <c r="E34" s="479" t="s">
        <v>740</v>
      </c>
    </row>
    <row r="35" spans="1:8" ht="16.2" x14ac:dyDescent="0.25">
      <c r="B35" s="478" t="s">
        <v>383</v>
      </c>
      <c r="C35" s="475"/>
      <c r="D35" s="474"/>
      <c r="E35" s="479"/>
    </row>
    <row r="36" spans="1:8" ht="16.2" x14ac:dyDescent="0.25">
      <c r="B36" s="478" t="s">
        <v>613</v>
      </c>
      <c r="C36" s="475"/>
      <c r="D36" s="474"/>
      <c r="E36" s="479"/>
    </row>
    <row r="37" spans="1:8" ht="16.2" x14ac:dyDescent="0.25">
      <c r="B37" s="478" t="s">
        <v>420</v>
      </c>
      <c r="C37" s="475"/>
      <c r="D37" s="474"/>
      <c r="E37" s="479"/>
    </row>
    <row r="38" spans="1:8" ht="16.2" x14ac:dyDescent="0.25">
      <c r="B38" s="478" t="s">
        <v>411</v>
      </c>
      <c r="C38" s="475"/>
      <c r="D38" s="474"/>
      <c r="E38" s="479"/>
    </row>
    <row r="39" spans="1:8" ht="13.8" x14ac:dyDescent="0.25">
      <c r="B39" s="625" t="s">
        <v>757</v>
      </c>
      <c r="C39" s="626"/>
      <c r="D39" s="626"/>
      <c r="E39" s="627"/>
    </row>
    <row r="40" spans="1:8" ht="15.6" x14ac:dyDescent="0.25">
      <c r="B40" s="478" t="s">
        <v>415</v>
      </c>
      <c r="C40" s="475"/>
      <c r="D40" s="476"/>
      <c r="E40" s="480"/>
    </row>
    <row r="41" spans="1:8" ht="15.6" x14ac:dyDescent="0.25">
      <c r="B41" s="478" t="s">
        <v>416</v>
      </c>
      <c r="C41" s="475"/>
      <c r="D41" s="476"/>
      <c r="E41" s="480"/>
    </row>
    <row r="42" spans="1:8" ht="15.6" x14ac:dyDescent="0.25">
      <c r="B42" s="478" t="s">
        <v>417</v>
      </c>
      <c r="C42" s="475"/>
      <c r="D42" s="476"/>
      <c r="E42" s="480"/>
    </row>
    <row r="43" spans="1:8" ht="15.6" x14ac:dyDescent="0.25">
      <c r="B43" s="478" t="s">
        <v>418</v>
      </c>
      <c r="C43" s="475"/>
      <c r="D43" s="476"/>
      <c r="E43" s="480"/>
    </row>
    <row r="44" spans="1:8" ht="16.2" x14ac:dyDescent="0.25">
      <c r="B44" s="478" t="s">
        <v>393</v>
      </c>
      <c r="C44" s="477">
        <v>0.7</v>
      </c>
      <c r="D44" s="476" t="s">
        <v>637</v>
      </c>
      <c r="E44" s="479" t="s">
        <v>740</v>
      </c>
      <c r="H44" t="s">
        <v>547</v>
      </c>
    </row>
    <row r="45" spans="1:8" ht="15.6" x14ac:dyDescent="0.25">
      <c r="B45" s="478" t="s">
        <v>395</v>
      </c>
      <c r="C45" s="475"/>
      <c r="D45" s="476"/>
      <c r="E45" s="480"/>
    </row>
    <row r="46" spans="1:8" ht="15.6" x14ac:dyDescent="0.25">
      <c r="B46" s="478" t="s">
        <v>423</v>
      </c>
      <c r="C46" s="475"/>
      <c r="D46" s="476"/>
      <c r="E46" s="480"/>
    </row>
    <row r="47" spans="1:8" ht="16.2" thickBot="1" x14ac:dyDescent="0.3">
      <c r="B47" s="481" t="s">
        <v>424</v>
      </c>
      <c r="C47" s="482"/>
      <c r="D47" s="483"/>
      <c r="E47" s="484"/>
    </row>
    <row r="48" spans="1:8" ht="46.5" customHeight="1" x14ac:dyDescent="0.25">
      <c r="A48" s="526" t="s">
        <v>547</v>
      </c>
      <c r="B48" s="610" t="s">
        <v>738</v>
      </c>
      <c r="C48" s="611"/>
      <c r="D48" s="611"/>
      <c r="E48" s="612"/>
    </row>
    <row r="49" spans="1:19" ht="42.75" customHeight="1" x14ac:dyDescent="0.25">
      <c r="B49" s="613"/>
      <c r="C49" s="614"/>
      <c r="D49" s="614"/>
      <c r="E49" s="615"/>
    </row>
    <row r="50" spans="1:19" ht="24.75" customHeight="1" thickBot="1" x14ac:dyDescent="0.3">
      <c r="B50" s="616"/>
      <c r="C50" s="617"/>
      <c r="D50" s="617"/>
      <c r="E50" s="618"/>
    </row>
    <row r="51" spans="1:19" ht="16.5" customHeight="1" x14ac:dyDescent="0.25">
      <c r="B51" s="399"/>
      <c r="C51" s="399"/>
      <c r="D51" s="399"/>
      <c r="E51" s="399"/>
    </row>
    <row r="52" spans="1:19" ht="36" customHeight="1" x14ac:dyDescent="0.25">
      <c r="A52" s="432"/>
      <c r="B52" s="248" t="s">
        <v>741</v>
      </c>
      <c r="D52" s="249"/>
    </row>
    <row r="53" spans="1:19" ht="48" customHeight="1" x14ac:dyDescent="0.25">
      <c r="A53" s="527" t="s">
        <v>635</v>
      </c>
      <c r="B53" s="597" t="s">
        <v>770</v>
      </c>
      <c r="C53" s="599"/>
      <c r="D53" s="599"/>
      <c r="E53" s="599"/>
      <c r="F53" s="599"/>
      <c r="G53" s="599"/>
      <c r="H53" s="599"/>
      <c r="I53" s="599"/>
      <c r="J53" s="11"/>
      <c r="K53" s="11"/>
      <c r="L53" s="11"/>
      <c r="M53" s="11"/>
      <c r="N53" s="11"/>
      <c r="O53" s="11"/>
      <c r="P53" s="11"/>
    </row>
    <row r="54" spans="1:19" ht="15.6" thickBot="1" x14ac:dyDescent="0.3">
      <c r="B54" s="117"/>
      <c r="J54" s="11"/>
      <c r="K54" s="11"/>
      <c r="L54" s="11"/>
      <c r="M54" s="11"/>
      <c r="N54" s="11"/>
      <c r="O54" s="11"/>
      <c r="P54" s="11"/>
      <c r="Q54" s="11"/>
      <c r="R54" s="11"/>
    </row>
    <row r="55" spans="1:19" s="132" customFormat="1" ht="21" customHeight="1" x14ac:dyDescent="0.25">
      <c r="A55" s="526"/>
      <c r="B55" s="602" t="s">
        <v>21</v>
      </c>
      <c r="C55" s="600" t="s">
        <v>350</v>
      </c>
      <c r="D55" s="619" t="s">
        <v>550</v>
      </c>
      <c r="E55" s="620"/>
      <c r="F55" s="621"/>
      <c r="G55" s="628" t="s">
        <v>551</v>
      </c>
      <c r="H55" s="629"/>
      <c r="I55" s="604" t="s">
        <v>311</v>
      </c>
      <c r="J55" s="637" t="s">
        <v>328</v>
      </c>
      <c r="K55" s="637" t="s">
        <v>758</v>
      </c>
      <c r="L55" s="639" t="s">
        <v>329</v>
      </c>
      <c r="M55" s="639"/>
      <c r="N55" s="639"/>
      <c r="O55" s="529"/>
      <c r="P55" s="640" t="s">
        <v>241</v>
      </c>
      <c r="Q55" s="633" t="s">
        <v>756</v>
      </c>
      <c r="R55" s="633" t="s">
        <v>769</v>
      </c>
      <c r="S55" s="635" t="s">
        <v>231</v>
      </c>
    </row>
    <row r="56" spans="1:19" ht="36" customHeight="1" x14ac:dyDescent="0.25">
      <c r="B56" s="603"/>
      <c r="C56" s="601"/>
      <c r="D56" s="472" t="s">
        <v>753</v>
      </c>
      <c r="E56" s="466" t="s">
        <v>754</v>
      </c>
      <c r="F56" s="467" t="s">
        <v>755</v>
      </c>
      <c r="G56" s="473" t="s">
        <v>742</v>
      </c>
      <c r="H56" s="473" t="s">
        <v>303</v>
      </c>
      <c r="I56" s="605"/>
      <c r="J56" s="638"/>
      <c r="K56" s="638"/>
      <c r="L56" s="471" t="s">
        <v>549</v>
      </c>
      <c r="M56" s="471" t="s">
        <v>534</v>
      </c>
      <c r="N56" s="471" t="s">
        <v>535</v>
      </c>
      <c r="O56" s="471"/>
      <c r="P56" s="641"/>
      <c r="Q56" s="634"/>
      <c r="R56" s="634"/>
      <c r="S56" s="636"/>
    </row>
    <row r="57" spans="1:19" ht="15" x14ac:dyDescent="0.25">
      <c r="B57" s="459"/>
      <c r="C57" s="468"/>
      <c r="D57" s="457"/>
      <c r="E57" s="456"/>
      <c r="F57" s="456"/>
      <c r="G57" s="468"/>
      <c r="H57" s="468"/>
      <c r="I57" s="469" t="str">
        <f t="shared" ref="I57:I75" si="0">IF(ISNA(VLOOKUP(H57,unitStates,3,FALSE)), "", (VLOOKUP(H57,unitStates,3,FALSE)))</f>
        <v/>
      </c>
      <c r="J57" s="469" t="str">
        <f t="shared" ref="J57:J75" si="1">IF(ISERROR(VLOOKUP(G57, numeratorConversionTable, 2, FALSE)), "", VLOOKUP(G57, numeratorConversionTable, 2, FALSE))</f>
        <v/>
      </c>
      <c r="K57" s="469" t="str">
        <f t="shared" ref="K57:K75" si="2">IF(ISERROR(VLOOKUP(H57, denominatorConversionTable, 2, FALSE)), "", VLOOKUP(H57, denominatorConversionTable, 2, FALSE))</f>
        <v/>
      </c>
      <c r="L57" s="469" t="str">
        <f t="shared" ref="L57:L59" si="3">IF(ISERROR(D57*J57*K57), "", D57*J57*K57)</f>
        <v/>
      </c>
      <c r="M57" s="469" t="str">
        <f t="shared" ref="M57" si="4">IF(ISERROR(E57*J57*K57), "", E57*J57*K57)</f>
        <v/>
      </c>
      <c r="N57" s="469" t="str">
        <f t="shared" ref="N57:N59" si="5">IF(ISERROR(F57*J57*K57), "", F57*J57*K57)</f>
        <v/>
      </c>
      <c r="O57" s="469" t="str">
        <f t="shared" ref="O57:O75" si="6">IF(ISERROR(VLOOKUP(H57,unitStates,3,FALSE)), "", IF(VLOOKUP(H57,unitStates,3,FALSE)=0, "HVList", "notApplicable"))</f>
        <v/>
      </c>
      <c r="P57" s="469" t="str">
        <f t="shared" ref="P57:P59" si="7">IF(O57="", "", IF(O57="notApplicable", 0, 1))</f>
        <v/>
      </c>
      <c r="Q57" s="468"/>
      <c r="R57" s="468"/>
      <c r="S57" s="470"/>
    </row>
    <row r="58" spans="1:19" ht="15" x14ac:dyDescent="0.25">
      <c r="B58" s="459"/>
      <c r="C58" s="456"/>
      <c r="D58" s="457"/>
      <c r="E58" s="456"/>
      <c r="F58" s="456"/>
      <c r="G58" s="456"/>
      <c r="H58" s="456"/>
      <c r="I58" s="458" t="str">
        <f t="shared" si="0"/>
        <v/>
      </c>
      <c r="J58" s="458" t="str">
        <f t="shared" si="1"/>
        <v/>
      </c>
      <c r="K58" s="458" t="str">
        <f t="shared" si="2"/>
        <v/>
      </c>
      <c r="L58" s="458" t="str">
        <f t="shared" si="3"/>
        <v/>
      </c>
      <c r="M58" s="458" t="str">
        <f>IF(ISERROR(E58*J58*K58), "", E58*J58*K58)</f>
        <v/>
      </c>
      <c r="N58" s="458" t="str">
        <f t="shared" si="5"/>
        <v/>
      </c>
      <c r="O58" s="458" t="str">
        <f t="shared" si="6"/>
        <v/>
      </c>
      <c r="P58" s="458" t="str">
        <f t="shared" si="7"/>
        <v/>
      </c>
      <c r="Q58" s="456"/>
      <c r="R58" s="456"/>
      <c r="S58" s="460"/>
    </row>
    <row r="59" spans="1:19" ht="15" x14ac:dyDescent="0.25">
      <c r="B59" s="459"/>
      <c r="C59" s="456"/>
      <c r="D59" s="457"/>
      <c r="E59" s="456"/>
      <c r="F59" s="456"/>
      <c r="G59" s="456"/>
      <c r="H59" s="456"/>
      <c r="I59" s="458" t="str">
        <f t="shared" si="0"/>
        <v/>
      </c>
      <c r="J59" s="458" t="str">
        <f t="shared" si="1"/>
        <v/>
      </c>
      <c r="K59" s="458" t="str">
        <f t="shared" si="2"/>
        <v/>
      </c>
      <c r="L59" s="458" t="str">
        <f t="shared" si="3"/>
        <v/>
      </c>
      <c r="M59" s="458" t="str">
        <f>IF(ISERROR(E59*J59*K59), "", E59*J59*K59)</f>
        <v/>
      </c>
      <c r="N59" s="458" t="str">
        <f t="shared" si="5"/>
        <v/>
      </c>
      <c r="O59" s="458" t="str">
        <f t="shared" si="6"/>
        <v/>
      </c>
      <c r="P59" s="458" t="str">
        <f t="shared" si="7"/>
        <v/>
      </c>
      <c r="Q59" s="456"/>
      <c r="R59" s="456"/>
      <c r="S59" s="460"/>
    </row>
    <row r="60" spans="1:19" ht="15" x14ac:dyDescent="0.25">
      <c r="B60" s="459"/>
      <c r="C60" s="456"/>
      <c r="D60" s="457"/>
      <c r="E60" s="456"/>
      <c r="F60" s="456"/>
      <c r="G60" s="456"/>
      <c r="H60" s="456"/>
      <c r="I60" s="458" t="str">
        <f t="shared" si="0"/>
        <v/>
      </c>
      <c r="J60" s="458" t="str">
        <f t="shared" si="1"/>
        <v/>
      </c>
      <c r="K60" s="458" t="str">
        <f t="shared" si="2"/>
        <v/>
      </c>
      <c r="L60" s="458" t="str">
        <f t="shared" ref="L60:L75" si="8">IF(ISERROR(D60*J60*K60), "", D60*J60*K60)</f>
        <v/>
      </c>
      <c r="M60" s="458" t="str">
        <f t="shared" ref="M60:M75" si="9">IF(ISERROR(E60*J60*K60), "", E60*J60*K60)</f>
        <v/>
      </c>
      <c r="N60" s="458" t="str">
        <f t="shared" ref="N60:N75" si="10">IF(ISERROR(F60*J60*K60), "", F60*J60*K60)</f>
        <v/>
      </c>
      <c r="O60" s="458" t="str">
        <f t="shared" si="6"/>
        <v/>
      </c>
      <c r="P60" s="458" t="str">
        <f t="shared" ref="P60:P75" si="11">IF(O60="", "", IF(O60="notApplicable", 0, 1))</f>
        <v/>
      </c>
      <c r="Q60" s="456"/>
      <c r="R60" s="456"/>
      <c r="S60" s="460"/>
    </row>
    <row r="61" spans="1:19" ht="15" x14ac:dyDescent="0.25">
      <c r="B61" s="459"/>
      <c r="C61" s="456"/>
      <c r="D61" s="457"/>
      <c r="E61" s="456"/>
      <c r="F61" s="456"/>
      <c r="G61" s="456"/>
      <c r="H61" s="456"/>
      <c r="I61" s="458" t="str">
        <f t="shared" si="0"/>
        <v/>
      </c>
      <c r="J61" s="458" t="str">
        <f t="shared" si="1"/>
        <v/>
      </c>
      <c r="K61" s="458" t="str">
        <f t="shared" si="2"/>
        <v/>
      </c>
      <c r="L61" s="458" t="str">
        <f t="shared" si="8"/>
        <v/>
      </c>
      <c r="M61" s="458" t="str">
        <f t="shared" si="9"/>
        <v/>
      </c>
      <c r="N61" s="458" t="str">
        <f t="shared" si="10"/>
        <v/>
      </c>
      <c r="O61" s="458" t="str">
        <f t="shared" si="6"/>
        <v/>
      </c>
      <c r="P61" s="458" t="str">
        <f t="shared" si="11"/>
        <v/>
      </c>
      <c r="Q61" s="456"/>
      <c r="R61" s="456"/>
      <c r="S61" s="460"/>
    </row>
    <row r="62" spans="1:19" ht="15" x14ac:dyDescent="0.25">
      <c r="B62" s="459"/>
      <c r="C62" s="456"/>
      <c r="D62" s="457"/>
      <c r="E62" s="456"/>
      <c r="F62" s="456"/>
      <c r="G62" s="456"/>
      <c r="H62" s="456"/>
      <c r="I62" s="458" t="str">
        <f t="shared" si="0"/>
        <v/>
      </c>
      <c r="J62" s="458" t="str">
        <f t="shared" si="1"/>
        <v/>
      </c>
      <c r="K62" s="458" t="str">
        <f t="shared" si="2"/>
        <v/>
      </c>
      <c r="L62" s="458" t="str">
        <f t="shared" si="8"/>
        <v/>
      </c>
      <c r="M62" s="458" t="str">
        <f t="shared" si="9"/>
        <v/>
      </c>
      <c r="N62" s="458" t="str">
        <f t="shared" si="10"/>
        <v/>
      </c>
      <c r="O62" s="458" t="str">
        <f t="shared" si="6"/>
        <v/>
      </c>
      <c r="P62" s="458" t="str">
        <f t="shared" si="11"/>
        <v/>
      </c>
      <c r="Q62" s="456"/>
      <c r="R62" s="456"/>
      <c r="S62" s="460"/>
    </row>
    <row r="63" spans="1:19" ht="15" x14ac:dyDescent="0.25">
      <c r="B63" s="459"/>
      <c r="C63" s="456"/>
      <c r="D63" s="457"/>
      <c r="E63" s="456"/>
      <c r="F63" s="456"/>
      <c r="G63" s="456"/>
      <c r="H63" s="456"/>
      <c r="I63" s="458" t="str">
        <f t="shared" si="0"/>
        <v/>
      </c>
      <c r="J63" s="458" t="str">
        <f t="shared" si="1"/>
        <v/>
      </c>
      <c r="K63" s="458" t="str">
        <f t="shared" si="2"/>
        <v/>
      </c>
      <c r="L63" s="458" t="str">
        <f t="shared" si="8"/>
        <v/>
      </c>
      <c r="M63" s="458" t="str">
        <f t="shared" si="9"/>
        <v/>
      </c>
      <c r="N63" s="458" t="str">
        <f t="shared" si="10"/>
        <v/>
      </c>
      <c r="O63" s="458" t="str">
        <f t="shared" si="6"/>
        <v/>
      </c>
      <c r="P63" s="458" t="str">
        <f t="shared" si="11"/>
        <v/>
      </c>
      <c r="Q63" s="456"/>
      <c r="R63" s="456"/>
      <c r="S63" s="460"/>
    </row>
    <row r="64" spans="1:19" ht="15" x14ac:dyDescent="0.25">
      <c r="B64" s="459"/>
      <c r="C64" s="456"/>
      <c r="D64" s="457"/>
      <c r="E64" s="456"/>
      <c r="F64" s="456"/>
      <c r="G64" s="456"/>
      <c r="H64" s="456"/>
      <c r="I64" s="458" t="str">
        <f t="shared" si="0"/>
        <v/>
      </c>
      <c r="J64" s="458" t="str">
        <f t="shared" si="1"/>
        <v/>
      </c>
      <c r="K64" s="458" t="str">
        <f t="shared" si="2"/>
        <v/>
      </c>
      <c r="L64" s="458" t="str">
        <f t="shared" si="8"/>
        <v/>
      </c>
      <c r="M64" s="458" t="str">
        <f t="shared" si="9"/>
        <v/>
      </c>
      <c r="N64" s="458" t="str">
        <f t="shared" si="10"/>
        <v/>
      </c>
      <c r="O64" s="458" t="str">
        <f t="shared" si="6"/>
        <v/>
      </c>
      <c r="P64" s="458" t="str">
        <f t="shared" si="11"/>
        <v/>
      </c>
      <c r="Q64" s="456"/>
      <c r="R64" s="456"/>
      <c r="S64" s="460"/>
    </row>
    <row r="65" spans="2:19" ht="15" x14ac:dyDescent="0.25">
      <c r="B65" s="459"/>
      <c r="C65" s="456"/>
      <c r="D65" s="457"/>
      <c r="E65" s="456"/>
      <c r="F65" s="456"/>
      <c r="G65" s="456"/>
      <c r="H65" s="456"/>
      <c r="I65" s="458" t="str">
        <f t="shared" si="0"/>
        <v/>
      </c>
      <c r="J65" s="458" t="str">
        <f t="shared" si="1"/>
        <v/>
      </c>
      <c r="K65" s="458" t="str">
        <f t="shared" si="2"/>
        <v/>
      </c>
      <c r="L65" s="458" t="str">
        <f t="shared" si="8"/>
        <v/>
      </c>
      <c r="M65" s="458" t="str">
        <f t="shared" si="9"/>
        <v/>
      </c>
      <c r="N65" s="458" t="str">
        <f t="shared" si="10"/>
        <v/>
      </c>
      <c r="O65" s="458" t="str">
        <f t="shared" si="6"/>
        <v/>
      </c>
      <c r="P65" s="458" t="str">
        <f t="shared" si="11"/>
        <v/>
      </c>
      <c r="Q65" s="456"/>
      <c r="R65" s="456"/>
      <c r="S65" s="460"/>
    </row>
    <row r="66" spans="2:19" ht="15" x14ac:dyDescent="0.25">
      <c r="B66" s="459"/>
      <c r="C66" s="456"/>
      <c r="D66" s="457"/>
      <c r="E66" s="456"/>
      <c r="F66" s="456"/>
      <c r="G66" s="456"/>
      <c r="H66" s="456"/>
      <c r="I66" s="458" t="str">
        <f t="shared" si="0"/>
        <v/>
      </c>
      <c r="J66" s="458" t="str">
        <f t="shared" si="1"/>
        <v/>
      </c>
      <c r="K66" s="458" t="str">
        <f t="shared" si="2"/>
        <v/>
      </c>
      <c r="L66" s="458" t="str">
        <f t="shared" si="8"/>
        <v/>
      </c>
      <c r="M66" s="458" t="str">
        <f t="shared" si="9"/>
        <v/>
      </c>
      <c r="N66" s="458" t="str">
        <f t="shared" si="10"/>
        <v/>
      </c>
      <c r="O66" s="458" t="str">
        <f t="shared" si="6"/>
        <v/>
      </c>
      <c r="P66" s="458" t="str">
        <f t="shared" si="11"/>
        <v/>
      </c>
      <c r="Q66" s="456"/>
      <c r="R66" s="456"/>
      <c r="S66" s="460"/>
    </row>
    <row r="67" spans="2:19" ht="15" x14ac:dyDescent="0.25">
      <c r="B67" s="459"/>
      <c r="C67" s="456"/>
      <c r="D67" s="457"/>
      <c r="E67" s="456"/>
      <c r="F67" s="456"/>
      <c r="G67" s="456"/>
      <c r="H67" s="456"/>
      <c r="I67" s="458" t="str">
        <f t="shared" si="0"/>
        <v/>
      </c>
      <c r="J67" s="458" t="str">
        <f t="shared" si="1"/>
        <v/>
      </c>
      <c r="K67" s="458" t="str">
        <f t="shared" si="2"/>
        <v/>
      </c>
      <c r="L67" s="458" t="str">
        <f t="shared" si="8"/>
        <v/>
      </c>
      <c r="M67" s="458" t="str">
        <f t="shared" si="9"/>
        <v/>
      </c>
      <c r="N67" s="458" t="str">
        <f t="shared" si="10"/>
        <v/>
      </c>
      <c r="O67" s="458" t="str">
        <f t="shared" si="6"/>
        <v/>
      </c>
      <c r="P67" s="458" t="str">
        <f t="shared" si="11"/>
        <v/>
      </c>
      <c r="Q67" s="456"/>
      <c r="R67" s="456"/>
      <c r="S67" s="460"/>
    </row>
    <row r="68" spans="2:19" ht="15" x14ac:dyDescent="0.25">
      <c r="B68" s="459"/>
      <c r="C68" s="456"/>
      <c r="D68" s="457"/>
      <c r="E68" s="456"/>
      <c r="F68" s="456"/>
      <c r="G68" s="456"/>
      <c r="H68" s="456"/>
      <c r="I68" s="458" t="str">
        <f t="shared" si="0"/>
        <v/>
      </c>
      <c r="J68" s="458" t="str">
        <f t="shared" si="1"/>
        <v/>
      </c>
      <c r="K68" s="458" t="str">
        <f t="shared" si="2"/>
        <v/>
      </c>
      <c r="L68" s="458" t="str">
        <f t="shared" si="8"/>
        <v/>
      </c>
      <c r="M68" s="458" t="str">
        <f t="shared" si="9"/>
        <v/>
      </c>
      <c r="N68" s="458" t="str">
        <f t="shared" si="10"/>
        <v/>
      </c>
      <c r="O68" s="458" t="str">
        <f t="shared" si="6"/>
        <v/>
      </c>
      <c r="P68" s="458" t="str">
        <f t="shared" si="11"/>
        <v/>
      </c>
      <c r="Q68" s="456"/>
      <c r="R68" s="456"/>
      <c r="S68" s="460"/>
    </row>
    <row r="69" spans="2:19" ht="15" x14ac:dyDescent="0.25">
      <c r="B69" s="459"/>
      <c r="C69" s="456"/>
      <c r="D69" s="457"/>
      <c r="E69" s="456"/>
      <c r="F69" s="456"/>
      <c r="G69" s="456"/>
      <c r="H69" s="456"/>
      <c r="I69" s="458" t="str">
        <f t="shared" si="0"/>
        <v/>
      </c>
      <c r="J69" s="458" t="str">
        <f t="shared" si="1"/>
        <v/>
      </c>
      <c r="K69" s="458" t="str">
        <f t="shared" si="2"/>
        <v/>
      </c>
      <c r="L69" s="458" t="str">
        <f t="shared" si="8"/>
        <v/>
      </c>
      <c r="M69" s="458" t="str">
        <f t="shared" si="9"/>
        <v/>
      </c>
      <c r="N69" s="458" t="str">
        <f t="shared" si="10"/>
        <v/>
      </c>
      <c r="O69" s="458" t="str">
        <f t="shared" si="6"/>
        <v/>
      </c>
      <c r="P69" s="458" t="str">
        <f t="shared" si="11"/>
        <v/>
      </c>
      <c r="Q69" s="456"/>
      <c r="R69" s="456"/>
      <c r="S69" s="460"/>
    </row>
    <row r="70" spans="2:19" ht="15" x14ac:dyDescent="0.25">
      <c r="B70" s="459"/>
      <c r="C70" s="456"/>
      <c r="D70" s="457"/>
      <c r="E70" s="456"/>
      <c r="F70" s="456"/>
      <c r="G70" s="456"/>
      <c r="H70" s="456"/>
      <c r="I70" s="458" t="str">
        <f t="shared" si="0"/>
        <v/>
      </c>
      <c r="J70" s="458" t="str">
        <f t="shared" si="1"/>
        <v/>
      </c>
      <c r="K70" s="458" t="str">
        <f t="shared" si="2"/>
        <v/>
      </c>
      <c r="L70" s="458" t="str">
        <f t="shared" si="8"/>
        <v/>
      </c>
      <c r="M70" s="458" t="str">
        <f t="shared" si="9"/>
        <v/>
      </c>
      <c r="N70" s="458" t="str">
        <f t="shared" si="10"/>
        <v/>
      </c>
      <c r="O70" s="458" t="str">
        <f t="shared" si="6"/>
        <v/>
      </c>
      <c r="P70" s="458" t="str">
        <f t="shared" si="11"/>
        <v/>
      </c>
      <c r="Q70" s="456"/>
      <c r="R70" s="456"/>
      <c r="S70" s="460"/>
    </row>
    <row r="71" spans="2:19" ht="15" x14ac:dyDescent="0.25">
      <c r="B71" s="459"/>
      <c r="C71" s="456"/>
      <c r="D71" s="457"/>
      <c r="E71" s="456"/>
      <c r="F71" s="456"/>
      <c r="G71" s="456"/>
      <c r="H71" s="456"/>
      <c r="I71" s="458" t="str">
        <f t="shared" si="0"/>
        <v/>
      </c>
      <c r="J71" s="458" t="str">
        <f t="shared" si="1"/>
        <v/>
      </c>
      <c r="K71" s="458" t="str">
        <f t="shared" si="2"/>
        <v/>
      </c>
      <c r="L71" s="458" t="str">
        <f t="shared" si="8"/>
        <v/>
      </c>
      <c r="M71" s="458" t="str">
        <f t="shared" si="9"/>
        <v/>
      </c>
      <c r="N71" s="458" t="str">
        <f t="shared" si="10"/>
        <v/>
      </c>
      <c r="O71" s="458" t="str">
        <f t="shared" si="6"/>
        <v/>
      </c>
      <c r="P71" s="458" t="str">
        <f t="shared" si="11"/>
        <v/>
      </c>
      <c r="Q71" s="456"/>
      <c r="R71" s="456"/>
      <c r="S71" s="460"/>
    </row>
    <row r="72" spans="2:19" ht="15" x14ac:dyDescent="0.25">
      <c r="B72" s="459"/>
      <c r="C72" s="456"/>
      <c r="D72" s="457"/>
      <c r="E72" s="456"/>
      <c r="F72" s="456"/>
      <c r="G72" s="456"/>
      <c r="H72" s="456"/>
      <c r="I72" s="458" t="str">
        <f t="shared" si="0"/>
        <v/>
      </c>
      <c r="J72" s="458" t="str">
        <f t="shared" si="1"/>
        <v/>
      </c>
      <c r="K72" s="458" t="str">
        <f t="shared" si="2"/>
        <v/>
      </c>
      <c r="L72" s="458" t="str">
        <f t="shared" si="8"/>
        <v/>
      </c>
      <c r="M72" s="458" t="str">
        <f t="shared" si="9"/>
        <v/>
      </c>
      <c r="N72" s="458" t="str">
        <f t="shared" si="10"/>
        <v/>
      </c>
      <c r="O72" s="458" t="str">
        <f t="shared" si="6"/>
        <v/>
      </c>
      <c r="P72" s="458" t="str">
        <f t="shared" si="11"/>
        <v/>
      </c>
      <c r="Q72" s="456"/>
      <c r="R72" s="456"/>
      <c r="S72" s="460"/>
    </row>
    <row r="73" spans="2:19" ht="15" x14ac:dyDescent="0.25">
      <c r="B73" s="459"/>
      <c r="C73" s="456"/>
      <c r="D73" s="457"/>
      <c r="E73" s="456"/>
      <c r="F73" s="456"/>
      <c r="G73" s="456"/>
      <c r="H73" s="456"/>
      <c r="I73" s="458" t="str">
        <f t="shared" si="0"/>
        <v/>
      </c>
      <c r="J73" s="458" t="str">
        <f t="shared" si="1"/>
        <v/>
      </c>
      <c r="K73" s="458" t="str">
        <f t="shared" si="2"/>
        <v/>
      </c>
      <c r="L73" s="458" t="str">
        <f t="shared" si="8"/>
        <v/>
      </c>
      <c r="M73" s="458" t="str">
        <f t="shared" si="9"/>
        <v/>
      </c>
      <c r="N73" s="458" t="str">
        <f t="shared" si="10"/>
        <v/>
      </c>
      <c r="O73" s="458" t="str">
        <f t="shared" si="6"/>
        <v/>
      </c>
      <c r="P73" s="458" t="str">
        <f t="shared" si="11"/>
        <v/>
      </c>
      <c r="Q73" s="456"/>
      <c r="R73" s="456"/>
      <c r="S73" s="460"/>
    </row>
    <row r="74" spans="2:19" ht="15" x14ac:dyDescent="0.25">
      <c r="B74" s="459"/>
      <c r="C74" s="456"/>
      <c r="D74" s="457"/>
      <c r="E74" s="456"/>
      <c r="F74" s="456"/>
      <c r="G74" s="456"/>
      <c r="H74" s="456"/>
      <c r="I74" s="458" t="str">
        <f t="shared" si="0"/>
        <v/>
      </c>
      <c r="J74" s="458" t="str">
        <f t="shared" si="1"/>
        <v/>
      </c>
      <c r="K74" s="458" t="str">
        <f t="shared" si="2"/>
        <v/>
      </c>
      <c r="L74" s="458" t="str">
        <f t="shared" si="8"/>
        <v/>
      </c>
      <c r="M74" s="458" t="str">
        <f t="shared" si="9"/>
        <v/>
      </c>
      <c r="N74" s="458" t="str">
        <f t="shared" si="10"/>
        <v/>
      </c>
      <c r="O74" s="458" t="str">
        <f t="shared" si="6"/>
        <v/>
      </c>
      <c r="P74" s="458" t="str">
        <f t="shared" si="11"/>
        <v/>
      </c>
      <c r="Q74" s="456"/>
      <c r="R74" s="456"/>
      <c r="S74" s="460"/>
    </row>
    <row r="75" spans="2:19" ht="15.6" thickBot="1" x14ac:dyDescent="0.3">
      <c r="B75" s="461"/>
      <c r="C75" s="462"/>
      <c r="D75" s="463"/>
      <c r="E75" s="462"/>
      <c r="F75" s="462"/>
      <c r="G75" s="462"/>
      <c r="H75" s="462"/>
      <c r="I75" s="464" t="str">
        <f t="shared" si="0"/>
        <v/>
      </c>
      <c r="J75" s="464" t="str">
        <f t="shared" si="1"/>
        <v/>
      </c>
      <c r="K75" s="464" t="str">
        <f t="shared" si="2"/>
        <v/>
      </c>
      <c r="L75" s="464" t="str">
        <f t="shared" si="8"/>
        <v/>
      </c>
      <c r="M75" s="464" t="str">
        <f t="shared" si="9"/>
        <v/>
      </c>
      <c r="N75" s="464" t="str">
        <f t="shared" si="10"/>
        <v/>
      </c>
      <c r="O75" s="464" t="str">
        <f t="shared" si="6"/>
        <v/>
      </c>
      <c r="P75" s="464" t="str">
        <f t="shared" si="11"/>
        <v/>
      </c>
      <c r="Q75" s="462"/>
      <c r="R75" s="462"/>
      <c r="S75" s="465"/>
    </row>
  </sheetData>
  <sheetProtection algorithmName="SHA-512" hashValue="jYmCMo2tmz43HFgpBwKWMFzTMTVYLj58xqErmM/JKdBQI6sGZI5XOqHjUXqxdzUeypZG8HM7EZrelbUeMqx6sw==" saltValue="b+ERb7dwwOEMWABWSEVrVA==" spinCount="100000" sheet="1" objects="1" scenarios="1"/>
  <mergeCells count="22">
    <mergeCell ref="R55:R56"/>
    <mergeCell ref="S55:S56"/>
    <mergeCell ref="J55:J56"/>
    <mergeCell ref="Q55:Q56"/>
    <mergeCell ref="K55:K56"/>
    <mergeCell ref="L55:N55"/>
    <mergeCell ref="P55:P56"/>
    <mergeCell ref="B4:I4"/>
    <mergeCell ref="B6:I6"/>
    <mergeCell ref="B53:I53"/>
    <mergeCell ref="C55:C56"/>
    <mergeCell ref="B55:B56"/>
    <mergeCell ref="I55:I56"/>
    <mergeCell ref="B8:H8"/>
    <mergeCell ref="C12:E12"/>
    <mergeCell ref="B10:I10"/>
    <mergeCell ref="B48:E50"/>
    <mergeCell ref="D55:F55"/>
    <mergeCell ref="B14:E14"/>
    <mergeCell ref="B39:E39"/>
    <mergeCell ref="G55:H55"/>
    <mergeCell ref="C7:E7"/>
  </mergeCells>
  <phoneticPr fontId="3" type="noConversion"/>
  <conditionalFormatting sqref="C15:E38">
    <cfRule type="containsBlanks" dxfId="4" priority="4">
      <formula>LEN(TRIM(C15))=0</formula>
    </cfRule>
  </conditionalFormatting>
  <conditionalFormatting sqref="C40:E43 C44:D44 C45:E47">
    <cfRule type="containsBlanks" dxfId="3" priority="2">
      <formula>LEN(TRIM(C40))=0</formula>
    </cfRule>
  </conditionalFormatting>
  <conditionalFormatting sqref="E44">
    <cfRule type="containsBlanks" dxfId="2" priority="1">
      <formula>LEN(TRIM(E44))=0</formula>
    </cfRule>
  </conditionalFormatting>
  <dataValidations count="9">
    <dataValidation type="list" allowBlank="1" showInputMessage="1" showErrorMessage="1" sqref="Q57:Q75" xr:uid="{00000000-0002-0000-0100-000000000000}">
      <formula1>INDIRECT(O57)</formula1>
    </dataValidation>
    <dataValidation type="list" allowBlank="1" showInputMessage="1" showErrorMessage="1" sqref="G57:G75" xr:uid="{00000000-0002-0000-0100-000001000000}">
      <formula1>numerators</formula1>
    </dataValidation>
    <dataValidation type="list" allowBlank="1" showInputMessage="1" showErrorMessage="1" sqref="H57:H75" xr:uid="{00000000-0002-0000-0100-000002000000}">
      <formula1>denominators</formula1>
    </dataValidation>
    <dataValidation type="list" allowBlank="1" showInputMessage="1" showErrorMessage="1" sqref="C57:C75" xr:uid="{00000000-0002-0000-0100-000003000000}">
      <formula1>customFuelTypes</formula1>
    </dataValidation>
    <dataValidation type="list" allowBlank="1" showInputMessage="1" showErrorMessage="1" sqref="C7" xr:uid="{00000000-0002-0000-0100-000004000000}">
      <formula1>GWPSets</formula1>
    </dataValidation>
    <dataValidation type="list" allowBlank="1" showInputMessage="1" showErrorMessage="1" sqref="D40:D47" xr:uid="{67D6FF29-9CFA-403A-8DFE-279CA71244B1}">
      <formula1>"kg/m3 of fuel"</formula1>
    </dataValidation>
    <dataValidation type="list" allowBlank="1" showInputMessage="1" showErrorMessage="1" sqref="D15:D38" xr:uid="{BD9541E0-15C6-442B-BC72-3B69C1A2F878}">
      <formula1>"kg/litre of fuel"</formula1>
    </dataValidation>
    <dataValidation type="decimal" allowBlank="1" showInputMessage="1" showErrorMessage="1" sqref="C40:C47" xr:uid="{72F6FB7A-BF35-4021-96CF-1F16FCB10AFA}">
      <formula1>0</formula1>
      <formula2>2000</formula2>
    </dataValidation>
    <dataValidation type="decimal" allowBlank="1" showInputMessage="1" showErrorMessage="1" sqref="C15:C38" xr:uid="{7678014E-E312-4A5A-AF6C-1B0ADBDF8C42}">
      <formula1>0</formula1>
      <formula2>10000</formula2>
    </dataValidation>
  </dataValidation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ACA2"/>
  </sheetPr>
  <dimension ref="B2:AF35"/>
  <sheetViews>
    <sheetView showGridLines="0" showRowColHeaders="0" zoomScaleNormal="100" workbookViewId="0"/>
  </sheetViews>
  <sheetFormatPr defaultRowHeight="13.2" x14ac:dyDescent="0.25"/>
  <cols>
    <col min="1" max="1" width="8.5546875" customWidth="1"/>
    <col min="2" max="2" width="14.88671875" customWidth="1"/>
    <col min="3" max="3" width="15.6640625" customWidth="1"/>
    <col min="4" max="4" width="23.6640625" customWidth="1"/>
    <col min="5" max="5" width="29" style="264" customWidth="1"/>
    <col min="6" max="7" width="17.109375" hidden="1" customWidth="1"/>
    <col min="8" max="8" width="23.44140625" bestFit="1" customWidth="1"/>
    <col min="9" max="9" width="21.44140625" customWidth="1"/>
    <col min="10" max="10" width="22.33203125" hidden="1" customWidth="1"/>
    <col min="11" max="11" width="12.88671875" hidden="1" customWidth="1"/>
    <col min="12" max="12" width="22.33203125" customWidth="1"/>
    <col min="13" max="13" width="32" customWidth="1"/>
    <col min="14" max="14" width="32.6640625" customWidth="1"/>
    <col min="15" max="15" width="39.88671875" customWidth="1"/>
    <col min="16" max="16" width="21.88671875" customWidth="1"/>
    <col min="17" max="17" width="24.33203125" customWidth="1"/>
    <col min="18" max="18" width="26.44140625" bestFit="1" customWidth="1"/>
    <col min="19" max="19" width="16.88671875" hidden="1" customWidth="1"/>
    <col min="20" max="20" width="16.44140625" hidden="1" customWidth="1"/>
    <col min="21" max="21" width="29.88671875" customWidth="1"/>
    <col min="22" max="22" width="25.33203125" customWidth="1"/>
    <col min="23" max="23" width="25.6640625" style="424" customWidth="1"/>
    <col min="24" max="25" width="23.6640625" style="424" customWidth="1"/>
    <col min="26" max="26" width="30.44140625" customWidth="1"/>
    <col min="27" max="27" width="26" style="135" customWidth="1"/>
    <col min="28" max="28" width="27.88671875" style="424" customWidth="1"/>
    <col min="29" max="29" width="25.33203125" customWidth="1"/>
    <col min="30" max="30" width="55.109375" customWidth="1"/>
    <col min="31" max="31" width="11.5546875" bestFit="1" customWidth="1"/>
    <col min="32" max="32" width="10.5546875" bestFit="1" customWidth="1"/>
  </cols>
  <sheetData>
    <row r="2" spans="2:32" ht="43.5" customHeight="1" x14ac:dyDescent="0.25">
      <c r="B2" s="549"/>
      <c r="M2" s="549"/>
      <c r="P2" s="549"/>
      <c r="W2" s="554"/>
    </row>
    <row r="3" spans="2:32" ht="68.25" customHeight="1" x14ac:dyDescent="0.25">
      <c r="B3" s="550"/>
      <c r="C3" s="528"/>
      <c r="D3" s="528"/>
      <c r="E3" s="528"/>
      <c r="F3" s="528"/>
      <c r="G3" s="528"/>
      <c r="H3" s="528"/>
      <c r="I3" s="528"/>
      <c r="J3" s="528"/>
      <c r="K3" s="528"/>
      <c r="L3" s="528"/>
      <c r="M3" s="550"/>
      <c r="N3" s="528"/>
      <c r="O3" s="528"/>
      <c r="P3" s="550"/>
      <c r="Q3" s="528"/>
      <c r="R3" s="528"/>
      <c r="S3" s="528"/>
      <c r="T3" s="528"/>
      <c r="U3" s="528"/>
      <c r="V3" s="528"/>
      <c r="W3" s="555"/>
      <c r="X3" s="398"/>
      <c r="Y3" s="398"/>
      <c r="Z3" s="398"/>
      <c r="AA3" s="499"/>
      <c r="AB3" s="398"/>
    </row>
    <row r="4" spans="2:32" ht="39" customHeight="1" x14ac:dyDescent="0.7">
      <c r="B4" s="551"/>
      <c r="L4" s="552"/>
      <c r="M4" s="549"/>
      <c r="P4" s="549"/>
      <c r="R4" s="397"/>
      <c r="U4" s="396"/>
      <c r="W4" s="554"/>
    </row>
    <row r="5" spans="2:32" ht="42" customHeight="1" thickBot="1" x14ac:dyDescent="0.3">
      <c r="B5" s="650" t="str">
        <f>IF(ISERROR(IF(SUM(K8:K32)&gt;0, VLOOKUP(1, errorMessageTable, 2, FALSE), "")), "", IF(SUM(K8:K32)&gt;0, VLOOKUP(1, errorMessageTable, 2, FALSE), ""))</f>
        <v/>
      </c>
      <c r="C5" s="651"/>
      <c r="D5" s="651"/>
      <c r="E5" s="651"/>
      <c r="F5" s="651"/>
      <c r="G5" s="651"/>
      <c r="H5" s="651"/>
      <c r="I5" s="651"/>
      <c r="J5" s="651"/>
      <c r="K5" s="651"/>
      <c r="L5" s="651"/>
      <c r="M5" s="553"/>
      <c r="P5" s="553"/>
      <c r="R5" s="397"/>
      <c r="U5" s="396"/>
      <c r="W5" s="556"/>
    </row>
    <row r="6" spans="2:32" ht="25.95" customHeight="1" x14ac:dyDescent="0.25">
      <c r="B6" s="642" t="s">
        <v>124</v>
      </c>
      <c r="C6" s="643"/>
      <c r="D6" s="643"/>
      <c r="E6" s="643"/>
      <c r="F6" s="643"/>
      <c r="G6" s="643"/>
      <c r="H6" s="643"/>
      <c r="I6" s="643"/>
      <c r="J6" s="643"/>
      <c r="K6" s="643"/>
      <c r="L6" s="643"/>
      <c r="M6" s="644" t="s">
        <v>617</v>
      </c>
      <c r="N6" s="645"/>
      <c r="O6" s="648" t="s">
        <v>772</v>
      </c>
      <c r="P6" s="657" t="s">
        <v>595</v>
      </c>
      <c r="Q6" s="658"/>
      <c r="R6" s="658"/>
      <c r="S6" s="658"/>
      <c r="T6" s="658"/>
      <c r="U6" s="658"/>
      <c r="V6" s="659"/>
      <c r="W6" s="662" t="s">
        <v>761</v>
      </c>
      <c r="X6" s="663"/>
      <c r="Y6" s="663"/>
      <c r="Z6" s="663"/>
      <c r="AA6" s="663"/>
      <c r="AB6" s="664"/>
    </row>
    <row r="7" spans="2:32" ht="59.25" customHeight="1" x14ac:dyDescent="0.3">
      <c r="B7" s="445" t="s">
        <v>42</v>
      </c>
      <c r="C7" s="441" t="s">
        <v>157</v>
      </c>
      <c r="D7" s="441" t="s">
        <v>732</v>
      </c>
      <c r="E7" s="441" t="s">
        <v>21</v>
      </c>
      <c r="F7" s="441" t="s">
        <v>505</v>
      </c>
      <c r="G7" s="441" t="s">
        <v>505</v>
      </c>
      <c r="H7" s="441" t="s">
        <v>760</v>
      </c>
      <c r="I7" s="441" t="s">
        <v>733</v>
      </c>
      <c r="J7" s="442"/>
      <c r="K7" s="442"/>
      <c r="L7" s="441" t="s">
        <v>356</v>
      </c>
      <c r="M7" s="441" t="s">
        <v>166</v>
      </c>
      <c r="N7" s="453" t="s">
        <v>638</v>
      </c>
      <c r="O7" s="649"/>
      <c r="P7" s="454" t="s">
        <v>746</v>
      </c>
      <c r="Q7" s="443" t="s">
        <v>747</v>
      </c>
      <c r="R7" s="443" t="s">
        <v>748</v>
      </c>
      <c r="S7" s="444"/>
      <c r="T7" s="444"/>
      <c r="U7" s="443" t="s">
        <v>749</v>
      </c>
      <c r="V7" s="451" t="s">
        <v>750</v>
      </c>
      <c r="W7" s="495" t="s">
        <v>743</v>
      </c>
      <c r="X7" s="434" t="s">
        <v>744</v>
      </c>
      <c r="Y7" s="434" t="s">
        <v>745</v>
      </c>
      <c r="Z7" s="434" t="s">
        <v>773</v>
      </c>
      <c r="AA7" s="452" t="s">
        <v>763</v>
      </c>
      <c r="AB7" s="455" t="s">
        <v>762</v>
      </c>
      <c r="AE7" s="396"/>
    </row>
    <row r="8" spans="2:32" s="132" customFormat="1" ht="44.25" customHeight="1" x14ac:dyDescent="0.25">
      <c r="B8" s="501"/>
      <c r="C8" s="402"/>
      <c r="D8" s="402"/>
      <c r="E8" s="403"/>
      <c r="F8" s="404" t="str">
        <f t="shared" ref="F8:F32" si="0">IF(D8="", "", VLOOKUP(D8,stateMap,2,FALSE))</f>
        <v/>
      </c>
      <c r="G8" s="404" t="str">
        <f t="shared" ref="G8:G32" si="1">IF(D8="", "", IF(D8="My fuels", VLOOKUP(VLOOKUP(E8,customTable,7,FALSE), customUnitMap, 2, FALSE), IF(ISNA(VLOOKUP(E8,unitCodes,4,FALSE)), "", VLOOKUP(E8,unitCodes,4,FALSE))))</f>
        <v/>
      </c>
      <c r="H8" s="405"/>
      <c r="I8" s="402"/>
      <c r="J8" s="404" t="str">
        <f>IF(ISERROR(VLOOKUP(I8,unitStates,3,FALSE)), "", IF(VLOOKUP(I8,unitStates,3,FALSE)=0, IF(D8="My fuels", VLOOKUP('3. Calculator'!E8,customTable,16, FALSE),"HVList"), "notApplicable"))</f>
        <v/>
      </c>
      <c r="K8" s="404" t="b">
        <f>J8=IF(J8="", "", IF(J8="notApplicable",0, 1))</f>
        <v>1</v>
      </c>
      <c r="L8" s="402"/>
      <c r="M8" s="502" t="str">
        <f>IF(D8="My fuels","-",_xlfn.IFNA(IF(VLOOKUP(E8,'2. Settings'!$B$15:$C$47,2,FALSE)="","Please enter fuel density in Settings.",VLOOKUP(E8,'2. Settings'!$B$15:$C$47,2,FALSE)),""))</f>
        <v/>
      </c>
      <c r="N8" s="502" t="str">
        <f>IF(D8="My fuels","-",_xlfn.IFNA(IF(VLOOKUP(E8,'2. Settings'!$B$15:$D$47,3,FALSE)="","Please enter fuel density in Settings.",VLOOKUP(E8,'2. Settings'!$B$15:$D$47,3,FALSE)),""))</f>
        <v/>
      </c>
      <c r="O8" s="503" t="str">
        <f>_xlfn.IFNA(IF(AND(VLOOKUP(VLOOKUP(E8,'2. Settings'!$B$57:$Q$75,7,FALSE),General_listings!$C$323:$D$336,2,FALSE)=VLOOKUP(I8,General_listings!$C$323:$D$336,2,FALSE),
VLOOKUP(E8,'2. Settings'!$B$57:$Q$75,16,FALSE)=L8),"","You have made changes in Settings. Please update the unit of measurement and/or heating value basis."),"")</f>
        <v/>
      </c>
      <c r="P8" s="436" t="str">
        <f>IF(ISERROR(IF(H8="", "", ghostSpreadsheet_CO2!AW10)), "", IF(H8="", "", ghostSpreadsheet_CO2!AW10))</f>
        <v/>
      </c>
      <c r="Q8" s="437" t="str">
        <f>IF(ISERROR(IF(H8="", "", IF(ghostSpreadsheet_CH4!AH10=0, "", ghostSpreadsheet_CH4!AH10))), "", IF(H8="", "", IF(ghostSpreadsheet_CH4!AH10=0, "", ghostSpreadsheet_CH4!AH10)))</f>
        <v/>
      </c>
      <c r="R8" s="438" t="str">
        <f>IF(ISERROR(IF(H8="","",IF(ghostSpreadsheet_N2O!AI10=0, "", ghostSpreadsheet_N2O!AI10))), "", IF(H8="","",IF(ghostSpreadsheet_N2O!AI10=0, "", ghostSpreadsheet_N2O!AI10)))</f>
        <v/>
      </c>
      <c r="S8" s="439">
        <f t="shared" ref="S8:S25" si="2">IF(Q8="", 0, Q8)</f>
        <v>0</v>
      </c>
      <c r="T8" s="439">
        <f t="shared" ref="T8" si="3">IF(R8="", 0, R8)</f>
        <v>0</v>
      </c>
      <c r="U8" s="436" t="str">
        <f>IF(ISERROR((S8*(VLOOKUP('2. Settings'!$C$7,GWPTable,3,FALSE)))+(T8*(VLOOKUP('2. Settings'!$C$7,GWPTable,4,FALSE)) +P8)),"",P8+(S8*(VLOOKUP('2. Settings'!$C$7,GWPTable,3,FALSE)))+(T8*(VLOOKUP('2. Settings'!$C$7,GWPTable,4,FALSE))))</f>
        <v/>
      </c>
      <c r="V8" s="433" t="str">
        <f>IF(ISERROR(IF(H8="", "", IF(ghostSpreadsheet_CO2!AX10=0, "", ghostSpreadsheet_CO2!AX10))), "", IF(H8="", "", IF(ghostSpreadsheet_CO2!AX10=0, "", ghostSpreadsheet_CO2!AX10)))</f>
        <v/>
      </c>
      <c r="W8" s="496" t="str" cm="1">
        <f t="array" ref="W8">IFERROR(_xlfn.IFS(AND(ISNUMBER(P8),D8&lt;&gt;"My fuels",D8&lt;&gt;"Biomass"),ROUND((ghostSpreadsheet_CO2!I10)/(ghostSpreadsheet_CO2!F10),INT(5-LOG(ghostSpreadsheet_CO2!I10)))&amp;" kg CO2/TJ",
AND(ISNUMBER(P8),D8="My fuels",VLOOKUP(D8,customTable,2,FALSE)=TRUE),ghostSpreadsheet_CO2!AO10),"-")</f>
        <v>-</v>
      </c>
      <c r="X8" s="440" t="str" cm="1">
        <f t="array" aca="1" ref="X8" ca="1">IFERROR(_xlfn.IFS(AND(ISNUMBER(Q8),D8&lt;&gt;"My fuels"),ROUND(((ghostSpreadsheet_CH4!I10)/(ghostSpreadsheet_CH4!E10)),INT(2-LOG(ghostSpreadsheet_CH4!I10)))&amp;" kg CH4/TJ",
AND(ISNUMBER(Q8),D8="My fuels"),ghostSpreadsheet_CH4!AD10),"-")</f>
        <v>-</v>
      </c>
      <c r="Y8" s="440" t="str" cm="1">
        <f t="array" aca="1" ref="Y8" ca="1">IFERROR(_xlfn.IFS(AND(ISNUMBER(R8),D8&lt;&gt;"My fuels"),ROUND(((ghostSpreadsheet_N2O!J10)/(ghostSpreadsheet_N2O!E10)),INT(2-LOG(ghostSpreadsheet_N2O!J10)))&amp;" kg/TJ",
AND(ISNUMBER(R8),D8="My fuels"),ghostSpreadsheet_N2O!AE10),"-")</f>
        <v>-</v>
      </c>
      <c r="Z8" s="440" t="str" cm="1">
        <f t="array" ref="Z8">IFERROR(_xlfn.IFS(AND(ISNUMBER(V8),D8&lt;&gt;"My fuels",D8="Biomass"),ROUND(ghostSpreadsheet_CO2!I10/(ghostSpreadsheet_CO2!F10),INT(5-LOG(ghostSpreadsheet_CO2!I10)))&amp;" kg CO2/TJ",
AND(ISNUMBER(V8),D8="My fuels",VLOOKUP(D8,customTable,2,FALSE)=Biomass),ghostSpreadsheet_CO2!AO10),"-")</f>
        <v>-</v>
      </c>
      <c r="AA8" s="494" t="str">
        <f>IF(ghostSpreadsheet_CH4!J10="","",ghostSpreadsheet_CO2!K10)</f>
        <v/>
      </c>
      <c r="AB8" s="446" t="str" cm="1">
        <f t="array" ref="AB8">_xlfn.IFNA(_xlfn.IFS(
AND(I8&lt;&gt;"Therm",I8&lt;&gt;"mmBtu",I8&lt;&gt;"TJ",I8&lt;&gt;"MJ",I8&lt;&gt;"GJ",I8&lt;&gt;"kWh",ISTEXT(I8),D8&lt;&gt;"My fuels"),
I8&amp;" to"&amp;" "&amp;"TJ based on fuel's density and heat content (or calorific value)",
AND(OR(I8="Therm",I8="mmBtu",I8="MJ",I8="GJ",I8="kWh"),D8&lt;&gt;"My fuels"),
I8&amp;" to"&amp;" "&amp;"TJ based on energy conversion",
(VLOOKUP(E8,customTable,7,FALSE)&lt;&gt;I8),I8&amp;" to"&amp;" "&amp;VLOOKUP(E8,customTable,7,FALSE)),"")</f>
        <v/>
      </c>
      <c r="AC8"/>
      <c r="AD8"/>
      <c r="AE8"/>
      <c r="AF8"/>
    </row>
    <row r="9" spans="2:32" s="132" customFormat="1" ht="34.5" customHeight="1" x14ac:dyDescent="0.25">
      <c r="B9" s="530"/>
      <c r="C9" s="407"/>
      <c r="D9" s="406"/>
      <c r="E9" s="408"/>
      <c r="F9" s="404" t="str">
        <f t="shared" si="0"/>
        <v/>
      </c>
      <c r="G9" s="404" t="str">
        <f t="shared" si="1"/>
        <v/>
      </c>
      <c r="H9" s="409"/>
      <c r="I9" s="406"/>
      <c r="J9" s="404" t="str">
        <f>IF(ISERROR(VLOOKUP(I9,unitStates,3,FALSE)), "", IF(VLOOKUP(I9,unitStates,3,FALSE)=0, IF(D9="My fuels", VLOOKUP('3. Calculator'!E9,customTable,16, FALSE),"HVList"), "notApplicable"))</f>
        <v/>
      </c>
      <c r="K9" s="404" t="b">
        <f t="shared" ref="K9:K30" si="4">J9=IF(J9="", "", IF(J9="notApplicable",0, 1))</f>
        <v>1</v>
      </c>
      <c r="L9" s="406"/>
      <c r="M9" s="503" t="str">
        <f>IF(D9="My fuels","-",_xlfn.IFNA(IF(VLOOKUP(E9,'2. Settings'!$B$15:$C$47,2,FALSE)="","Please enter fuel density in Settings.",VLOOKUP(E9,'2. Settings'!$B$15:$C$47,2,FALSE)),""))</f>
        <v/>
      </c>
      <c r="N9" s="503" t="str">
        <f>IF(D9="My fuels","-",_xlfn.IFNA(IF(VLOOKUP(E9,'2. Settings'!$B$15:$D$47,3,FALSE)="","Please enter fuel density in Settings.",VLOOKUP(E9,'2. Settings'!$B$15:$D$47,3,FALSE)),""))</f>
        <v/>
      </c>
      <c r="O9" s="503" t="str">
        <f>_xlfn.IFNA(IF(AND(VLOOKUP(VLOOKUP(E9,'2. Settings'!$B$57:$Q$75,7,FALSE),General_listings!$C$323:$D$336,2,FALSE)=VLOOKUP(I9,General_listings!$C$323:$D$336,2,FALSE),
VLOOKUP(E9,'2. Settings'!$B$57:$Q$75,16,FALSE)=L9),"","!Please select appropriate fuel amount units cluster and/or heating value basis"),"")</f>
        <v/>
      </c>
      <c r="P9" s="410" t="str">
        <f>IF(ISERROR(IF(H9="", "", ghostSpreadsheet_CO2!AW11)), "", IF(H9="", "", ghostSpreadsheet_CO2!AW11))</f>
        <v/>
      </c>
      <c r="Q9" s="410" t="str">
        <f>IF(ISERROR(IF(H9="", "", IF(ghostSpreadsheet_CH4!AH11=0, "", ghostSpreadsheet_CH4!AH11))), "", IF(H9="", "", IF(ghostSpreadsheet_CH4!AH11=0, "", ghostSpreadsheet_CH4!AH11)))</f>
        <v/>
      </c>
      <c r="R9" s="435" t="str">
        <f>IF(ISERROR(IF(H9="","",IF(ghostSpreadsheet_N2O!AI11=0, "", ghostSpreadsheet_N2O!AI11))), "", IF(H9="","",IF(ghostSpreadsheet_N2O!AI11=0, "", ghostSpreadsheet_N2O!AI11)))</f>
        <v/>
      </c>
      <c r="S9" s="411">
        <f t="shared" si="2"/>
        <v>0</v>
      </c>
      <c r="T9" s="411">
        <f t="shared" ref="T9" si="5">IF(R9="", 0, R9)</f>
        <v>0</v>
      </c>
      <c r="U9" s="410" t="str">
        <f>IF(ISERROR((S9*(VLOOKUP('2. Settings'!$C$7,GWPTable,3,FALSE)))+(T9*(VLOOKUP('2. Settings'!$C$7,GWPTable,4,FALSE)) +P9)),"",P9+(S9*(VLOOKUP('2. Settings'!$C$7,GWPTable,3,FALSE)))+(T9*(VLOOKUP('2. Settings'!$C$7,GWPTable,4,FALSE))))</f>
        <v/>
      </c>
      <c r="V9" s="423" t="str">
        <f>IF(ISERROR(IF(H9="", "", IF(ghostSpreadsheet_CO2!AX11=0, "", ghostSpreadsheet_CO2!AX11))), "", IF(H9="", "", IF(ghostSpreadsheet_CO2!AX11=0, "", ghostSpreadsheet_CO2!AX11)))</f>
        <v/>
      </c>
      <c r="W9" s="496" t="str" cm="1">
        <f t="array" ref="W9">IFERROR(_xlfn.IFS(AND(ISNUMBER(P9),D9&lt;&gt;"My fuels",D9&lt;&gt;"Biomass"),ROUND((ghostSpreadsheet_CO2!I11)/(ghostSpreadsheet_CO2!F11),INT(5-LOG(ghostSpreadsheet_CO2!I11)))&amp;" kg CO2/TJ",
AND(ISNUMBER(P9),D9="My fuels",VLOOKUP(D9,customTable,2,FALSE)=TRUE),ghostSpreadsheet_CO2!AO11),"-")</f>
        <v>-</v>
      </c>
      <c r="X9" s="440" t="str" cm="1">
        <f t="array" aca="1" ref="X9" ca="1">IFERROR(_xlfn.IFS(AND(ISNUMBER(Q9),D9&lt;&gt;"My fuels"),ROUND(((ghostSpreadsheet_CH4!I11)/(ghostSpreadsheet_CH4!E11)),INT(2-LOG(ghostSpreadsheet_CH4!I11)))&amp;" kg CH4/TJ",
AND(ISNUMBER(Q9),D9="My fuels"),ghostSpreadsheet_CH4!AD11),"-")</f>
        <v>-</v>
      </c>
      <c r="Y9" s="440" t="str" cm="1">
        <f t="array" aca="1" ref="Y9" ca="1">IFERROR(_xlfn.IFS(AND(ISNUMBER(R9),D9&lt;&gt;"My fuels"),ROUND(((ghostSpreadsheet_N2O!J11)/(ghostSpreadsheet_N2O!E11)),INT(2-LOG(ghostSpreadsheet_N2O!J11)))&amp;" kg/TJ",
AND(ISNUMBER(R9),D9="My fuels"),ghostSpreadsheet_N2O!AE11),"-")</f>
        <v>-</v>
      </c>
      <c r="Z9" s="440" t="str" cm="1">
        <f t="array" ref="Z9">IFERROR(_xlfn.IFS(AND(ISNUMBER(V9),D9&lt;&gt;"My fuels",D9="Biomass"),ROUND(ghostSpreadsheet_CO2!I11/(ghostSpreadsheet_CO2!F11),INT(5-LOG(ghostSpreadsheet_CO2!I11)))&amp;" kg CO2/TJ",
AND(ISNUMBER(V9),D9="My fuels",VLOOKUP(D9,customTable,2,FALSE)=Biomass),ghostSpreadsheet_CO2!AO11),"-")</f>
        <v>-</v>
      </c>
      <c r="AA9" s="494" t="str">
        <f>IF(ghostSpreadsheet_CH4!J11="","",ghostSpreadsheet_CO2!K11)</f>
        <v/>
      </c>
      <c r="AB9" s="446" t="str" cm="1">
        <f t="array" ref="AB9">_xlfn.IFNA(_xlfn.IFS(
AND(I9&lt;&gt;"Therm",I9&lt;&gt;"mmBtu",I9&lt;&gt;"TJ",I9&lt;&gt;"MJ",I9&lt;&gt;"GJ",I9&lt;&gt;"kWh",ISTEXT(I9),D9&lt;&gt;"My fuels"),
I9&amp;" to"&amp;" "&amp;"TJ based on fuel's density and heat content (or calorific value)",
AND(OR(I9="Therm",I9="mmBtu",I9="MJ",I9="GJ",I9="kWh"),D9&lt;&gt;"My fuels"),
I9&amp;" to"&amp;" "&amp;"TJ based on energy conversion",
(VLOOKUP(E9,customTable,7,FALSE)&lt;&gt;I9),I9&amp;" to"&amp;" "&amp;VLOOKUP(E9,customTable,7,FALSE)),"")</f>
        <v/>
      </c>
      <c r="AC9"/>
      <c r="AD9"/>
      <c r="AE9"/>
      <c r="AF9"/>
    </row>
    <row r="10" spans="2:32" s="132" customFormat="1" ht="32.25" customHeight="1" x14ac:dyDescent="0.25">
      <c r="B10" s="530"/>
      <c r="C10" s="407"/>
      <c r="D10" s="406"/>
      <c r="E10" s="408"/>
      <c r="F10" s="404" t="str">
        <f t="shared" si="0"/>
        <v/>
      </c>
      <c r="G10" s="404" t="str">
        <f t="shared" si="1"/>
        <v/>
      </c>
      <c r="H10" s="409"/>
      <c r="I10" s="406"/>
      <c r="J10" s="404" t="str">
        <f>IF(ISERROR(VLOOKUP(I10,unitStates,3,FALSE)), "", IF(VLOOKUP(I10,unitStates,3,FALSE)=0, IF(D10="My fuels", VLOOKUP('3. Calculator'!E10,customTable,16, FALSE),"HVList"), "notApplicable"))</f>
        <v/>
      </c>
      <c r="K10" s="404" t="b">
        <f t="shared" si="4"/>
        <v>1</v>
      </c>
      <c r="L10" s="406"/>
      <c r="M10" s="503" t="str">
        <f>IF(AND(D10="My fuels",OR(I10="gallon",I10="barrel (bbl)",I10="litres (l)")),"-",_xlfn.IFNA(IF(VLOOKUP(E10,'2. Settings'!$B$15:$C$47,2,FALSE)="","Please enter fuel density in Settings.",VLOOKUP(E10,'2. Settings'!$B$15:$C$47,2,FALSE)),""))</f>
        <v/>
      </c>
      <c r="N10" s="503" t="str">
        <f>IF(D10="My fuels","-",_xlfn.IFNA(IF(VLOOKUP(E10,'2. Settings'!$B$15:$D$47,3,FALSE)="","Please enter fuel density in Settings.",VLOOKUP(E10,'2. Settings'!$B$15:$D$47,3,FALSE)),""))</f>
        <v/>
      </c>
      <c r="O10" s="503" t="str">
        <f>_xlfn.IFNA(IF(AND(VLOOKUP(VLOOKUP(E10,'2. Settings'!$B$57:$Q$75,7,FALSE),General_listings!$C$323:$D$336,2,FALSE)=VLOOKUP(I10,General_listings!$C$323:$D$336,2,FALSE),
VLOOKUP(E10,'2. Settings'!$B$57:$Q$75,16,FALSE)=L10),"","!Please select appropriate fuel amount units cluster and/or heating value basis"),"")</f>
        <v/>
      </c>
      <c r="P10" s="410" t="str">
        <f>IF(ISERROR(IF(H10="", "", ghostSpreadsheet_CO2!AW12)), "", IF(H10="", "", ghostSpreadsheet_CO2!AW12))</f>
        <v/>
      </c>
      <c r="Q10" s="410" t="str">
        <f>IF(ISERROR(IF(H10="", "", IF(ghostSpreadsheet_CH4!AH12=0, "", ghostSpreadsheet_CH4!AH12))), "", IF(H10="", "", IF(ghostSpreadsheet_CH4!AH12=0, "", ghostSpreadsheet_CH4!AH12)))</f>
        <v/>
      </c>
      <c r="R10" s="435" t="str">
        <f>IF(ISERROR(IF(H10="","",IF(ghostSpreadsheet_N2O!AI12=0, "", ghostSpreadsheet_N2O!AI12))), "", IF(H10="","",IF(ghostSpreadsheet_N2O!AI12=0, "", ghostSpreadsheet_N2O!AI12)))</f>
        <v/>
      </c>
      <c r="S10" s="411">
        <f t="shared" si="2"/>
        <v>0</v>
      </c>
      <c r="T10" s="411">
        <f t="shared" ref="T10:T25" si="6">IF(R10="", 0, R10)</f>
        <v>0</v>
      </c>
      <c r="U10" s="410" t="str">
        <f>IF(ISERROR((S10*(VLOOKUP('2. Settings'!$C$7,GWPTable,3,FALSE)))+(T10*(VLOOKUP('2. Settings'!$C$7,GWPTable,4,FALSE)) +P10)),"",P10+(S10*(VLOOKUP('2. Settings'!$C$7,GWPTable,3,FALSE)))+(T10*(VLOOKUP('2. Settings'!$C$7,GWPTable,4,FALSE))))</f>
        <v/>
      </c>
      <c r="V10" s="423" t="str">
        <f>IF(ISERROR(IF(H10="", "", IF(ghostSpreadsheet_CO2!AX12=0, "", ghostSpreadsheet_CO2!AX12))), "", IF(H10="", "", IF(ghostSpreadsheet_CO2!AX12=0, "", ghostSpreadsheet_CO2!AX12)))</f>
        <v/>
      </c>
      <c r="W10" s="496" t="str" cm="1">
        <f t="array" ref="W10">IFERROR(_xlfn.IFS(AND(ISNUMBER(P10),D10&lt;&gt;"My fuels",D10&lt;&gt;"Biomass"),ROUND((ghostSpreadsheet_CO2!I12)/(ghostSpreadsheet_CO2!F12),INT(5-LOG(ghostSpreadsheet_CO2!I12)))&amp;" kg CO2/TJ",
AND(ISNUMBER(P10),D10="My fuels",VLOOKUP(D10,customTable,2,FALSE)=TRUE),ghostSpreadsheet_CO2!AO12),"-")</f>
        <v>-</v>
      </c>
      <c r="X10" s="440" t="str" cm="1">
        <f t="array" aca="1" ref="X10" ca="1">IFERROR(_xlfn.IFS(AND(ISNUMBER(Q10),D10&lt;&gt;"My fuels"),ROUND(((ghostSpreadsheet_CH4!I12)/(ghostSpreadsheet_CH4!E12)),INT(2-LOG(ghostSpreadsheet_CH4!I12)))&amp;" kg CH4/TJ",
AND(ISNUMBER(Q10),D10="My fuels"),ghostSpreadsheet_CH4!AD12),"-")</f>
        <v>-</v>
      </c>
      <c r="Y10" s="440" t="str" cm="1">
        <f t="array" aca="1" ref="Y10" ca="1">IFERROR(_xlfn.IFS(AND(ISNUMBER(R10),D10&lt;&gt;"My fuels"),ROUND(((ghostSpreadsheet_N2O!J12)/(ghostSpreadsheet_N2O!E12)),INT(2-LOG(ghostSpreadsheet_N2O!J12)))&amp;" kg/TJ",
AND(ISNUMBER(R10),D10="My fuels"),ghostSpreadsheet_N2O!AE12),"-")</f>
        <v>-</v>
      </c>
      <c r="Z10" s="440" t="str" cm="1">
        <f t="array" ref="Z10">IFERROR(_xlfn.IFS(AND(ISNUMBER(V10),D10&lt;&gt;"My fuels",D10="Biomass"),ROUND(ghostSpreadsheet_CO2!I12/(ghostSpreadsheet_CO2!F12),INT(5-LOG(ghostSpreadsheet_CO2!I12)))&amp;" kg CO2/TJ",
AND(ISNUMBER(V10),D10="My fuels",VLOOKUP(D10,customTable,2,FALSE)=Biomass),ghostSpreadsheet_CO2!AO12),"-")</f>
        <v>-</v>
      </c>
      <c r="AA10" s="494" t="str">
        <f>IF(ghostSpreadsheet_CH4!J12="","",ghostSpreadsheet_CO2!K12)</f>
        <v/>
      </c>
      <c r="AB10" s="446" t="str" cm="1">
        <f t="array" ref="AB10">_xlfn.IFNA(_xlfn.IFS(
AND(I10&lt;&gt;"Therm",I10&lt;&gt;"mmBtu",I10&lt;&gt;"TJ",I10&lt;&gt;"MJ",I10&lt;&gt;"GJ",I10&lt;&gt;"kWh",ISTEXT(I10),D10&lt;&gt;"My fuels"),
I10&amp;" to"&amp;" "&amp;"TJ based on fuel's density and heat content (or calorific value)",
AND(OR(I10="Therm",I10="mmBtu",I10="MJ",I10="GJ",I10="kWh"),D10&lt;&gt;"My fuels"),
I10&amp;" to"&amp;" "&amp;"TJ based on energy conversion",
(VLOOKUP(E10,customTable,7,FALSE)&lt;&gt;I10),I10&amp;" to"&amp;" "&amp;VLOOKUP(E10,customTable,7,FALSE)),"")</f>
        <v/>
      </c>
      <c r="AC10"/>
      <c r="AD10"/>
      <c r="AE10"/>
      <c r="AF10"/>
    </row>
    <row r="11" spans="2:32" s="132" customFormat="1" ht="32.25" customHeight="1" x14ac:dyDescent="0.25">
      <c r="B11" s="530"/>
      <c r="C11" s="407"/>
      <c r="D11" s="406"/>
      <c r="E11" s="408"/>
      <c r="F11" s="404" t="str">
        <f t="shared" si="0"/>
        <v/>
      </c>
      <c r="G11" s="404" t="str">
        <f t="shared" si="1"/>
        <v/>
      </c>
      <c r="H11" s="409"/>
      <c r="I11" s="406"/>
      <c r="J11" s="404" t="str">
        <f>IF(ISERROR(VLOOKUP(I11,unitStates,3,FALSE)), "", IF(VLOOKUP(I11,unitStates,3,FALSE)=0, IF(D11="My fuels", VLOOKUP('3. Calculator'!E11,customTable,16, FALSE),"HVList"), "notApplicable"))</f>
        <v/>
      </c>
      <c r="K11" s="404" t="b">
        <f t="shared" si="4"/>
        <v>1</v>
      </c>
      <c r="L11" s="406"/>
      <c r="M11" s="503" t="str">
        <f>IF(AND(D11="My fuels",OR(I11="gallon",I11="barrel (bbl)",I11="litres (l)")),"-",_xlfn.IFNA(IF(VLOOKUP(E11,'2. Settings'!$B$15:$C$47,2,FALSE)="","Please enter fuel density in Settings.",VLOOKUP(E11,'2. Settings'!$B$15:$C$47,2,FALSE)),""))</f>
        <v/>
      </c>
      <c r="N11" s="503" t="str">
        <f>IF(D11="My fuels","-",_xlfn.IFNA(IF(VLOOKUP(E11,'2. Settings'!$B$15:$D$47,3,FALSE)="","Please enter fuel density in Settings.",VLOOKUP(E11,'2. Settings'!$B$15:$D$47,3,FALSE)),""))</f>
        <v/>
      </c>
      <c r="O11" s="503" t="str">
        <f>_xlfn.IFNA(IF(AND(VLOOKUP(VLOOKUP(E11,'2. Settings'!$B$57:$Q$75,7,FALSE),General_listings!$C$323:$D$336,2,FALSE)=VLOOKUP(I11,General_listings!$C$323:$D$336,2,FALSE),
VLOOKUP(E11,'2. Settings'!$B$57:$Q$75,16,FALSE)=L11),"","!Please select appropriate fuel amount units cluster and/or heating value basis"),"")</f>
        <v/>
      </c>
      <c r="P11" s="410" t="str">
        <f>IF(ISERROR(IF(H11="", "", ghostSpreadsheet_CO2!AW13)), "", IF(H11="", "", ghostSpreadsheet_CO2!AW13))</f>
        <v/>
      </c>
      <c r="Q11" s="410" t="str">
        <f>IF(ISERROR(IF(H11="", "", IF(ghostSpreadsheet_CH4!AH13=0, "", ghostSpreadsheet_CH4!AH13))), "", IF(H11="", "", IF(ghostSpreadsheet_CH4!AH13=0, "", ghostSpreadsheet_CH4!AH13)))</f>
        <v/>
      </c>
      <c r="R11" s="435" t="str">
        <f>IF(ISERROR(IF(H11="","",IF(ghostSpreadsheet_N2O!AI13=0, "", ghostSpreadsheet_N2O!AI13))), "", IF(H11="","",IF(ghostSpreadsheet_N2O!AI13=0, "", ghostSpreadsheet_N2O!AI13)))</f>
        <v/>
      </c>
      <c r="S11" s="411">
        <f t="shared" si="2"/>
        <v>0</v>
      </c>
      <c r="T11" s="411">
        <f t="shared" si="6"/>
        <v>0</v>
      </c>
      <c r="U11" s="410" t="str">
        <f>IF(ISERROR((S11*(VLOOKUP('2. Settings'!$C$7,GWPTable,3,FALSE)))+(T11*(VLOOKUP('2. Settings'!$C$7,GWPTable,4,FALSE)) +P11)),"",P11+(S11*(VLOOKUP('2. Settings'!$C$7,GWPTable,3,FALSE)))+(T11*(VLOOKUP('2. Settings'!$C$7,GWPTable,4,FALSE))))</f>
        <v/>
      </c>
      <c r="V11" s="423" t="str">
        <f>IF(ISERROR(IF(H11="", "", IF(ghostSpreadsheet_CO2!AX13=0, "", ghostSpreadsheet_CO2!AX13))), "", IF(H11="", "", IF(ghostSpreadsheet_CO2!AX13=0, "", ghostSpreadsheet_CO2!AX13)))</f>
        <v/>
      </c>
      <c r="W11" s="496" t="str" cm="1">
        <f t="array" ref="W11">IFERROR(_xlfn.IFS(AND(ISNUMBER(P11),D11&lt;&gt;"My fuels",D11&lt;&gt;"Biomass"),ROUND((ghostSpreadsheet_CO2!I13)/(ghostSpreadsheet_CO2!F13),INT(5-LOG(ghostSpreadsheet_CO2!I13)))&amp;" kg CO2/TJ",
AND(ISNUMBER(P11),D11="My fuels",VLOOKUP(D11,customTable,2,FALSE)=TRUE),ghostSpreadsheet_CO2!AO13),"-")</f>
        <v>-</v>
      </c>
      <c r="X11" s="440" t="str" cm="1">
        <f t="array" aca="1" ref="X11" ca="1">IFERROR(_xlfn.IFS(AND(ISNUMBER(Q11),D11&lt;&gt;"My fuels"),ROUND(((ghostSpreadsheet_CH4!I13)/(ghostSpreadsheet_CH4!E13)),INT(2-LOG(ghostSpreadsheet_CH4!I13)))&amp;" kg CH4/TJ",
AND(ISNUMBER(Q11),D11="My fuels"),ghostSpreadsheet_CH4!AD13),"-")</f>
        <v>-</v>
      </c>
      <c r="Y11" s="440" t="str" cm="1">
        <f t="array" aca="1" ref="Y11" ca="1">IFERROR(_xlfn.IFS(AND(ISNUMBER(R11),D11&lt;&gt;"My fuels"),ROUND(((ghostSpreadsheet_N2O!J13)/(ghostSpreadsheet_N2O!E13)),INT(2-LOG(ghostSpreadsheet_N2O!J13)))&amp;" kg/TJ",
AND(ISNUMBER(R11),D11="My fuels"),ghostSpreadsheet_N2O!AE13),"-")</f>
        <v>-</v>
      </c>
      <c r="Z11" s="440" t="str" cm="1">
        <f t="array" ref="Z11">IFERROR(_xlfn.IFS(AND(ISNUMBER(V11),D11&lt;&gt;"My fuels",D11="Biomass"),ROUND(ghostSpreadsheet_CO2!I13/(ghostSpreadsheet_CO2!F13),INT(5-LOG(ghostSpreadsheet_CO2!I13)))&amp;" kg CO2/TJ",
AND(ISNUMBER(V11),D11="My fuels",VLOOKUP(D11,customTable,2,FALSE)=Biomass),ghostSpreadsheet_CO2!AO13),"-")</f>
        <v>-</v>
      </c>
      <c r="AA11" s="494" t="str">
        <f>IF(ghostSpreadsheet_CH4!J13="","",ghostSpreadsheet_CO2!K13)</f>
        <v/>
      </c>
      <c r="AB11" s="446" t="str" cm="1">
        <f t="array" ref="AB11">_xlfn.IFNA(_xlfn.IFS(
AND(I11&lt;&gt;"Therm",I11&lt;&gt;"mmBtu",I11&lt;&gt;"TJ",I11&lt;&gt;"MJ",I11&lt;&gt;"GJ",I11&lt;&gt;"kWh",ISTEXT(I11),D11&lt;&gt;"My fuels"),
I11&amp;" to"&amp;" "&amp;"TJ based on fuel's density and heat content (or calorific value)",
AND(OR(I11="Therm",I11="mmBtu",I11="MJ",I11="GJ",I11="kWh"),D11&lt;&gt;"My fuels"),
I11&amp;" to"&amp;" "&amp;"TJ based on energy conversion",
(VLOOKUP(E11,customTable,7,FALSE)&lt;&gt;I11),I11&amp;" to"&amp;" "&amp;VLOOKUP(E11,customTable,7,FALSE)),"")</f>
        <v/>
      </c>
      <c r="AC11"/>
      <c r="AD11"/>
      <c r="AE11"/>
      <c r="AF11"/>
    </row>
    <row r="12" spans="2:32" s="132" customFormat="1" ht="32.25" customHeight="1" x14ac:dyDescent="0.25">
      <c r="B12" s="530"/>
      <c r="C12" s="407"/>
      <c r="D12" s="406"/>
      <c r="E12" s="408"/>
      <c r="F12" s="404" t="str">
        <f t="shared" si="0"/>
        <v/>
      </c>
      <c r="G12" s="404" t="str">
        <f t="shared" si="1"/>
        <v/>
      </c>
      <c r="H12" s="409"/>
      <c r="I12" s="406"/>
      <c r="J12" s="404" t="str">
        <f>IF(ISERROR(VLOOKUP(I12,unitStates,3,FALSE)), "", IF(VLOOKUP(I12,unitStates,3,FALSE)=0, IF(D12="My fuels", VLOOKUP('3. Calculator'!E12,customTable,16, FALSE),"HVList"), "notApplicable"))</f>
        <v/>
      </c>
      <c r="K12" s="404" t="b">
        <f t="shared" si="4"/>
        <v>1</v>
      </c>
      <c r="L12" s="406"/>
      <c r="M12" s="503" t="str">
        <f>IF(D12="My fuels","-",_xlfn.IFNA(IF(VLOOKUP(E12,'2. Settings'!$B$15:$C$47,2,FALSE)="","Please enter fuel density in Settings.",VLOOKUP(E12,'2. Settings'!$B$15:$C$47,2,FALSE)),""))</f>
        <v/>
      </c>
      <c r="N12" s="503" t="str">
        <f>IF(D12="My fuels","-",_xlfn.IFNA(IF(VLOOKUP(E12,'2. Settings'!$B$15:$D$47,3,FALSE)="","Please enter fuel density in Settings.",VLOOKUP(E12,'2. Settings'!$B$15:$D$47,3,FALSE)),""))</f>
        <v/>
      </c>
      <c r="O12" s="503" t="str">
        <f>_xlfn.IFNA(IF(AND(VLOOKUP(VLOOKUP(E12,'2. Settings'!$B$57:$Q$75,7,FALSE),General_listings!$C$323:$D$336,2,FALSE)=VLOOKUP(I12,General_listings!$C$323:$D$336,2,FALSE),
VLOOKUP(E12,'2. Settings'!$B$57:$Q$75,16,FALSE)=L12),"","!Please select appropriate fuel amount units cluster and/or heating value basis"),"")</f>
        <v/>
      </c>
      <c r="P12" s="410" t="str">
        <f>IF(ISERROR(IF(H12="", "", ghostSpreadsheet_CO2!AW14)), "", IF(H12="", "", ghostSpreadsheet_CO2!AW14))</f>
        <v/>
      </c>
      <c r="Q12" s="410" t="str">
        <f>IF(ISERROR(IF(H12="", "", IF(ghostSpreadsheet_CH4!AH14=0, "", ghostSpreadsheet_CH4!AH14))), "", IF(H12="", "", IF(ghostSpreadsheet_CH4!AH14=0, "", ghostSpreadsheet_CH4!AH14)))</f>
        <v/>
      </c>
      <c r="R12" s="435" t="str">
        <f>IF(ISERROR(IF(H12="","",IF(ghostSpreadsheet_N2O!AI14=0, "", ghostSpreadsheet_N2O!AI14))), "", IF(H12="","",IF(ghostSpreadsheet_N2O!AI14=0, "", ghostSpreadsheet_N2O!AI14)))</f>
        <v/>
      </c>
      <c r="S12" s="411">
        <f t="shared" si="2"/>
        <v>0</v>
      </c>
      <c r="T12" s="411">
        <f t="shared" si="6"/>
        <v>0</v>
      </c>
      <c r="U12" s="410" t="str">
        <f>IF(ISERROR((S12*(VLOOKUP('2. Settings'!$C$7,GWPTable,3,FALSE)))+(T12*(VLOOKUP('2. Settings'!$C$7,GWPTable,4,FALSE)) +P12)),"",P12+(S12*(VLOOKUP('2. Settings'!$C$7,GWPTable,3,FALSE)))+(T12*(VLOOKUP('2. Settings'!$C$7,GWPTable,4,FALSE))))</f>
        <v/>
      </c>
      <c r="V12" s="423" t="str">
        <f>IF(ISERROR(IF(H12="", "", IF(ghostSpreadsheet_CO2!AX14=0, "", ghostSpreadsheet_CO2!AX14))), "", IF(H12="", "", IF(ghostSpreadsheet_CO2!AX14=0, "", ghostSpreadsheet_CO2!AX14)))</f>
        <v/>
      </c>
      <c r="W12" s="496" t="str" cm="1">
        <f t="array" ref="W12">IFERROR(_xlfn.IFS(AND(ISNUMBER(P12),D12&lt;&gt;"My fuels",D12&lt;&gt;"Biomass"),ROUND((ghostSpreadsheet_CO2!I14)/(ghostSpreadsheet_CO2!F14),INT(5-LOG(ghostSpreadsheet_CO2!I14)))&amp;" kg CO2/TJ",
AND(ISNUMBER(P12),D12="My fuels",VLOOKUP(D12,customTable,2,FALSE)=TRUE),ghostSpreadsheet_CO2!AO14),"-")</f>
        <v>-</v>
      </c>
      <c r="X12" s="440" t="str" cm="1">
        <f t="array" aca="1" ref="X12" ca="1">IFERROR(_xlfn.IFS(AND(ISNUMBER(Q12),D12&lt;&gt;"My fuels"),ROUND(((ghostSpreadsheet_CH4!I14)/(ghostSpreadsheet_CH4!E14)),INT(2-LOG(ghostSpreadsheet_CH4!I14)))&amp;" kg CH4/TJ",
AND(ISNUMBER(Q12),D12="My fuels"),ghostSpreadsheet_CH4!AD14),"-")</f>
        <v>-</v>
      </c>
      <c r="Y12" s="440" t="str" cm="1">
        <f t="array" aca="1" ref="Y12" ca="1">IFERROR(_xlfn.IFS(AND(ISNUMBER(R12),D12&lt;&gt;"My fuels"),ROUND(((ghostSpreadsheet_N2O!J14)/(ghostSpreadsheet_N2O!E14)),INT(2-LOG(ghostSpreadsheet_N2O!J14)))&amp;" kg/TJ",
AND(ISNUMBER(R12),D12="My fuels"),ghostSpreadsheet_N2O!AE14),"-")</f>
        <v>-</v>
      </c>
      <c r="Z12" s="440" t="str" cm="1">
        <f t="array" ref="Z12">IFERROR(_xlfn.IFS(AND(ISNUMBER(V12),D12&lt;&gt;"My fuels",D12="Biomass"),ROUND(ghostSpreadsheet_CO2!I14/(ghostSpreadsheet_CO2!F14),INT(5-LOG(ghostSpreadsheet_CO2!I14)))&amp;" kg CO2/TJ",
AND(ISNUMBER(V12),D12="My fuels",VLOOKUP(D12,customTable,2,FALSE)=Biomass),ghostSpreadsheet_CO2!AO14),"-")</f>
        <v>-</v>
      </c>
      <c r="AA12" s="494" t="str">
        <f>IF(ghostSpreadsheet_CH4!J14="","",ghostSpreadsheet_CO2!K14)</f>
        <v/>
      </c>
      <c r="AB12" s="446" t="str" cm="1">
        <f t="array" ref="AB12">_xlfn.IFNA(_xlfn.IFS(
AND(I12&lt;&gt;"Therm",I12&lt;&gt;"mmBtu",I12&lt;&gt;"TJ",I12&lt;&gt;"MJ",I12&lt;&gt;"GJ",I12&lt;&gt;"kWh",ISTEXT(I12),D12&lt;&gt;"My fuels"),
I12&amp;" to"&amp;" "&amp;"TJ based on fuel's density and heat content (or calorific value)",
AND(OR(I12="Therm",I12="mmBtu",I12="MJ",I12="GJ",I12="kWh"),D12&lt;&gt;"My fuels"),
I12&amp;" to"&amp;" "&amp;"TJ based on energy conversion",
(VLOOKUP(E12,customTable,7,FALSE)&lt;&gt;I12),I12&amp;" to"&amp;" "&amp;VLOOKUP(E12,customTable,7,FALSE)),"")</f>
        <v/>
      </c>
      <c r="AC12"/>
      <c r="AD12"/>
      <c r="AE12"/>
      <c r="AF12"/>
    </row>
    <row r="13" spans="2:32" s="132" customFormat="1" ht="32.25" customHeight="1" x14ac:dyDescent="0.25">
      <c r="B13" s="530"/>
      <c r="C13" s="407"/>
      <c r="D13" s="406"/>
      <c r="E13" s="408"/>
      <c r="F13" s="404" t="str">
        <f t="shared" si="0"/>
        <v/>
      </c>
      <c r="G13" s="404" t="str">
        <f t="shared" si="1"/>
        <v/>
      </c>
      <c r="H13" s="409"/>
      <c r="I13" s="406"/>
      <c r="J13" s="404" t="str">
        <f>IF(ISERROR(VLOOKUP(I13,unitStates,3,FALSE)), "", IF(VLOOKUP(I13,unitStates,3,FALSE)=0, IF(D13="My fuels", VLOOKUP('3. Calculator'!E13,customTable,16, FALSE),"HVList"), "notApplicable"))</f>
        <v/>
      </c>
      <c r="K13" s="404" t="b">
        <f t="shared" si="4"/>
        <v>1</v>
      </c>
      <c r="L13" s="406"/>
      <c r="M13" s="503" t="str">
        <f>IF(D13="My fuels","-",_xlfn.IFNA(IF(VLOOKUP(E13,'2. Settings'!$B$15:$C$47,2,FALSE)="","Please enter fuel density in Settings.",VLOOKUP(E13,'2. Settings'!$B$15:$C$47,2,FALSE)),""))</f>
        <v/>
      </c>
      <c r="N13" s="503" t="str">
        <f>IF(D13="My fuels","-",_xlfn.IFNA(IF(VLOOKUP(E13,'2. Settings'!$B$15:$D$47,3,FALSE)="","Please enter fuel density in Settings.",VLOOKUP(E13,'2. Settings'!$B$15:$D$47,3,FALSE)),""))</f>
        <v/>
      </c>
      <c r="O13" s="503" t="str">
        <f>_xlfn.IFNA(IF(AND(VLOOKUP(VLOOKUP(E13,'2. Settings'!$B$57:$Q$75,7,FALSE),General_listings!$C$323:$D$336,2,FALSE)=VLOOKUP(I13,General_listings!$C$323:$D$336,2,FALSE),
VLOOKUP(E13,'2. Settings'!$B$57:$Q$75,16,FALSE)=L13),"","!Please select appropriate fuel amount units cluster and/or heating value basis"),"")</f>
        <v/>
      </c>
      <c r="P13" s="410" t="str">
        <f>IF(ISERROR(IF(H13="", "", ghostSpreadsheet_CO2!AW15)), "", IF(H13="", "", ghostSpreadsheet_CO2!AW15))</f>
        <v/>
      </c>
      <c r="Q13" s="410" t="str">
        <f>IF(ISERROR(IF(H13="", "", IF(ghostSpreadsheet_CH4!AH15=0, "", ghostSpreadsheet_CH4!AH15))), "", IF(H13="", "", IF(ghostSpreadsheet_CH4!AH15=0, "", ghostSpreadsheet_CH4!AH15)))</f>
        <v/>
      </c>
      <c r="R13" s="435" t="str">
        <f>IF(ISERROR(IF(H13="","",IF(ghostSpreadsheet_N2O!AI15=0, "", ghostSpreadsheet_N2O!AI15))), "", IF(H13="","",IF(ghostSpreadsheet_N2O!AI15=0, "", ghostSpreadsheet_N2O!AI15)))</f>
        <v/>
      </c>
      <c r="S13" s="411">
        <f t="shared" si="2"/>
        <v>0</v>
      </c>
      <c r="T13" s="411">
        <f t="shared" si="6"/>
        <v>0</v>
      </c>
      <c r="U13" s="410" t="str">
        <f>IF(ISERROR((S13*(VLOOKUP('2. Settings'!$C$7,GWPTable,3,FALSE)))+(T13*(VLOOKUP('2. Settings'!$C$7,GWPTable,4,FALSE)) +P13)),"",P13+(S13*(VLOOKUP('2. Settings'!$C$7,GWPTable,3,FALSE)))+(T13*(VLOOKUP('2. Settings'!$C$7,GWPTable,4,FALSE))))</f>
        <v/>
      </c>
      <c r="V13" s="423" t="str">
        <f>IF(ISERROR(IF(H13="", "", IF(ghostSpreadsheet_CO2!AX15=0, "", ghostSpreadsheet_CO2!AX15))), "", IF(H13="", "", IF(ghostSpreadsheet_CO2!AX15=0, "", ghostSpreadsheet_CO2!AX15)))</f>
        <v/>
      </c>
      <c r="W13" s="496" t="str" cm="1">
        <f t="array" ref="W13">IFERROR(_xlfn.IFS(AND(ISNUMBER(P13),D13&lt;&gt;"My fuels",D13&lt;&gt;"Biomass"),ROUND((ghostSpreadsheet_CO2!I15)/(ghostSpreadsheet_CO2!F15),INT(5-LOG(ghostSpreadsheet_CO2!I15)))&amp;" kg CO2/TJ",
AND(ISNUMBER(P13),D13="My fuels",VLOOKUP(D13,customTable,2,FALSE)=TRUE),ghostSpreadsheet_CO2!AO15),"-")</f>
        <v>-</v>
      </c>
      <c r="X13" s="440" t="str" cm="1">
        <f t="array" aca="1" ref="X13" ca="1">IFERROR(_xlfn.IFS(AND(ISNUMBER(Q13),D13&lt;&gt;"My fuels"),ROUND(((ghostSpreadsheet_CH4!I15)/(ghostSpreadsheet_CH4!E15)),INT(2-LOG(ghostSpreadsheet_CH4!I15)))&amp;" kg CH4/TJ",
AND(ISNUMBER(Q13),D13="My fuels"),ghostSpreadsheet_CH4!AD15),"-")</f>
        <v>-</v>
      </c>
      <c r="Y13" s="440" t="str" cm="1">
        <f t="array" aca="1" ref="Y13" ca="1">IFERROR(_xlfn.IFS(AND(ISNUMBER(R13),D13&lt;&gt;"My fuels"),ROUND(((ghostSpreadsheet_N2O!J15)/(ghostSpreadsheet_N2O!E15)),INT(2-LOG(ghostSpreadsheet_N2O!J15)))&amp;" kg/TJ",
AND(ISNUMBER(R13),D13="My fuels"),ghostSpreadsheet_N2O!AE15),"-")</f>
        <v>-</v>
      </c>
      <c r="Z13" s="440" t="str" cm="1">
        <f t="array" ref="Z13">IFERROR(_xlfn.IFS(AND(ISNUMBER(V13),D13&lt;&gt;"My fuels",D13="Biomass"),ROUND(ghostSpreadsheet_CO2!I15/(ghostSpreadsheet_CO2!F15),INT(5-LOG(ghostSpreadsheet_CO2!I15)))&amp;" kg CO2/TJ",
AND(ISNUMBER(V13),D13="My fuels",VLOOKUP(D13,customTable,2,FALSE)=Biomass),ghostSpreadsheet_CO2!AO15),"-")</f>
        <v>-</v>
      </c>
      <c r="AA13" s="494" t="str">
        <f>IF(ghostSpreadsheet_CH4!J15="","",ghostSpreadsheet_CO2!K15)</f>
        <v/>
      </c>
      <c r="AB13" s="446" t="str" cm="1">
        <f t="array" ref="AB13">_xlfn.IFNA(_xlfn.IFS(
AND(I13&lt;&gt;"Therm",I13&lt;&gt;"mmBtu",I13&lt;&gt;"TJ",I13&lt;&gt;"MJ",I13&lt;&gt;"GJ",I13&lt;&gt;"kWh",ISTEXT(I13),D13&lt;&gt;"My fuels"),
I13&amp;" to"&amp;" "&amp;"TJ based on fuel's density and heat content (or calorific value)",
AND(OR(I13="Therm",I13="mmBtu",I13="MJ",I13="GJ",I13="kWh"),D13&lt;&gt;"My fuels"),
I13&amp;" to"&amp;" "&amp;"TJ based on energy conversion",
(VLOOKUP(E13,customTable,7,FALSE)&lt;&gt;I13),I13&amp;" to"&amp;" "&amp;VLOOKUP(E13,customTable,7,FALSE)),"")</f>
        <v/>
      </c>
      <c r="AC13"/>
      <c r="AD13"/>
      <c r="AE13"/>
      <c r="AF13"/>
    </row>
    <row r="14" spans="2:32" s="132" customFormat="1" ht="32.25" customHeight="1" x14ac:dyDescent="0.25">
      <c r="B14" s="530"/>
      <c r="C14" s="407"/>
      <c r="D14" s="406"/>
      <c r="E14" s="408"/>
      <c r="F14" s="404" t="str">
        <f t="shared" si="0"/>
        <v/>
      </c>
      <c r="G14" s="404" t="str">
        <f t="shared" si="1"/>
        <v/>
      </c>
      <c r="H14" s="409"/>
      <c r="I14" s="406"/>
      <c r="J14" s="404" t="str">
        <f>IF(ISERROR(VLOOKUP(I14,unitStates,3,FALSE)), "", IF(VLOOKUP(I14,unitStates,3,FALSE)=0, IF(D14="My fuels", VLOOKUP('3. Calculator'!E14,customTable,16, FALSE),"HVList"), "notApplicable"))</f>
        <v/>
      </c>
      <c r="K14" s="404" t="b">
        <f t="shared" si="4"/>
        <v>1</v>
      </c>
      <c r="L14" s="406"/>
      <c r="M14" s="503" t="str">
        <f>IF(D14="My fuels","-",_xlfn.IFNA(IF(VLOOKUP(E14,'2. Settings'!$B$15:$C$47,2,FALSE)="","Please enter fuel density in Settings.",VLOOKUP(E14,'2. Settings'!$B$15:$C$47,2,FALSE)),""))</f>
        <v/>
      </c>
      <c r="N14" s="503" t="str">
        <f>IF(D14="My fuels","-",_xlfn.IFNA(IF(VLOOKUP(E14,'2. Settings'!$B$15:$D$47,3,FALSE)="","Please enter fuel density in Settings.",VLOOKUP(E14,'2. Settings'!$B$15:$D$47,3,FALSE)),""))</f>
        <v/>
      </c>
      <c r="O14" s="503" t="str">
        <f>_xlfn.IFNA(IF(AND(VLOOKUP(VLOOKUP(E14,'2. Settings'!$B$57:$Q$75,7,FALSE),General_listings!$C$323:$D$336,2,FALSE)=VLOOKUP(I14,General_listings!$C$323:$D$336,2,FALSE),
VLOOKUP(E14,'2. Settings'!$B$57:$Q$75,16,FALSE)=L14),"","!Please select appropriate fuel amount units cluster and/or heating value basis"),"")</f>
        <v/>
      </c>
      <c r="P14" s="410" t="str">
        <f>IF(ISERROR(IF(H14="", "", ghostSpreadsheet_CO2!AW16)), "", IF(H14="", "", ghostSpreadsheet_CO2!AW16))</f>
        <v/>
      </c>
      <c r="Q14" s="410" t="str">
        <f>IF(ISERROR(IF(H14="", "", IF(ghostSpreadsheet_CH4!AH16=0, "", ghostSpreadsheet_CH4!AH16))), "", IF(H14="", "", IF(ghostSpreadsheet_CH4!AH16=0, "", ghostSpreadsheet_CH4!AH16)))</f>
        <v/>
      </c>
      <c r="R14" s="435" t="str">
        <f>IF(ISERROR(IF(H14="","",IF(ghostSpreadsheet_N2O!AI16=0, "", ghostSpreadsheet_N2O!AI16))), "", IF(H14="","",IF(ghostSpreadsheet_N2O!AI16=0, "", ghostSpreadsheet_N2O!AI16)))</f>
        <v/>
      </c>
      <c r="S14" s="411">
        <f t="shared" si="2"/>
        <v>0</v>
      </c>
      <c r="T14" s="411">
        <f t="shared" si="6"/>
        <v>0</v>
      </c>
      <c r="U14" s="410" t="str">
        <f>IF(ISERROR((S14*(VLOOKUP('2. Settings'!$C$7,GWPTable,3,FALSE)))+(T14*(VLOOKUP('2. Settings'!$C$7,GWPTable,4,FALSE)) +P14)),"",P14+(S14*(VLOOKUP('2. Settings'!$C$7,GWPTable,3,FALSE)))+(T14*(VLOOKUP('2. Settings'!$C$7,GWPTable,4,FALSE))))</f>
        <v/>
      </c>
      <c r="V14" s="423" t="str">
        <f>IF(ISERROR(IF(H14="", "", IF(ghostSpreadsheet_CO2!AX16=0, "", ghostSpreadsheet_CO2!AX16))), "", IF(H14="", "", IF(ghostSpreadsheet_CO2!AX16=0, "", ghostSpreadsheet_CO2!AX16)))</f>
        <v/>
      </c>
      <c r="W14" s="496" t="str" cm="1">
        <f t="array" ref="W14">IFERROR(_xlfn.IFS(AND(ISNUMBER(P14),D14&lt;&gt;"My fuels",D14&lt;&gt;"Biomass"),ROUND((ghostSpreadsheet_CO2!I16)/(ghostSpreadsheet_CO2!F16),INT(5-LOG(ghostSpreadsheet_CO2!I16)))&amp;" kg CO2/TJ",
AND(ISNUMBER(P14),D14="My fuels",VLOOKUP(D14,customTable,2,FALSE)=TRUE),ghostSpreadsheet_CO2!AO16),"-")</f>
        <v>-</v>
      </c>
      <c r="X14" s="440" t="str" cm="1">
        <f t="array" aca="1" ref="X14" ca="1">IFERROR(_xlfn.IFS(AND(ISNUMBER(Q14),D14&lt;&gt;"My fuels"),ROUND(((ghostSpreadsheet_CH4!I16)/(ghostSpreadsheet_CH4!E16)),INT(2-LOG(ghostSpreadsheet_CH4!I16)))&amp;" kg CH4/TJ",
AND(ISNUMBER(Q14),D14="My fuels"),ghostSpreadsheet_CH4!AD16),"-")</f>
        <v>-</v>
      </c>
      <c r="Y14" s="440" t="str" cm="1">
        <f t="array" aca="1" ref="Y14" ca="1">IFERROR(_xlfn.IFS(AND(ISNUMBER(R14),D14&lt;&gt;"My fuels"),ROUND(((ghostSpreadsheet_N2O!J16)/(ghostSpreadsheet_N2O!E16)),INT(2-LOG(ghostSpreadsheet_N2O!J16)))&amp;" kg/TJ",
AND(ISNUMBER(R14),D14="My fuels"),ghostSpreadsheet_N2O!AE16),"-")</f>
        <v>-</v>
      </c>
      <c r="Z14" s="440" t="str" cm="1">
        <f t="array" ref="Z14">IFERROR(_xlfn.IFS(AND(ISNUMBER(V14),D14&lt;&gt;"My fuels",D14="Biomass"),ROUND(ghostSpreadsheet_CO2!I16/(ghostSpreadsheet_CO2!F16),INT(5-LOG(ghostSpreadsheet_CO2!I16)))&amp;" kg CO2/TJ",
AND(ISNUMBER(V14),D14="My fuels",VLOOKUP(D14,customTable,2,FALSE)=Biomass),ghostSpreadsheet_CO2!AO16),"-")</f>
        <v>-</v>
      </c>
      <c r="AA14" s="494" t="str">
        <f>IF(ghostSpreadsheet_CH4!J16="","",ghostSpreadsheet_CO2!K16)</f>
        <v/>
      </c>
      <c r="AB14" s="446" t="str" cm="1">
        <f t="array" ref="AB14">_xlfn.IFNA(_xlfn.IFS(
AND(I14&lt;&gt;"Therm",I14&lt;&gt;"mmBtu",I14&lt;&gt;"TJ",I14&lt;&gt;"MJ",I14&lt;&gt;"GJ",I14&lt;&gt;"kWh",ISTEXT(I14),D14&lt;&gt;"My fuels"),
I14&amp;" to"&amp;" "&amp;"TJ based on fuel's density and heat content (or calorific value)",
AND(OR(I14="Therm",I14="mmBtu",I14="MJ",I14="GJ",I14="kWh"),D14&lt;&gt;"My fuels"),
I14&amp;" to"&amp;" "&amp;"TJ based on energy conversion",
(VLOOKUP(E14,customTable,7,FALSE)&lt;&gt;I14),I14&amp;" to"&amp;" "&amp;VLOOKUP(E14,customTable,7,FALSE)),"")</f>
        <v/>
      </c>
      <c r="AC14"/>
      <c r="AD14"/>
      <c r="AE14"/>
      <c r="AF14"/>
    </row>
    <row r="15" spans="2:32" s="132" customFormat="1" ht="32.25" customHeight="1" x14ac:dyDescent="0.25">
      <c r="B15" s="530"/>
      <c r="C15" s="407"/>
      <c r="D15" s="406"/>
      <c r="E15" s="408"/>
      <c r="F15" s="404" t="str">
        <f t="shared" si="0"/>
        <v/>
      </c>
      <c r="G15" s="404" t="str">
        <f t="shared" si="1"/>
        <v/>
      </c>
      <c r="H15" s="409"/>
      <c r="I15" s="406"/>
      <c r="J15" s="404" t="str">
        <f>IF(ISERROR(VLOOKUP(I15,unitStates,3,FALSE)), "", IF(VLOOKUP(I15,unitStates,3,FALSE)=0, IF(D15="My fuels", VLOOKUP('3. Calculator'!E15,customTable,16, FALSE),"HVList"), "notApplicable"))</f>
        <v/>
      </c>
      <c r="K15" s="404" t="b">
        <f t="shared" si="4"/>
        <v>1</v>
      </c>
      <c r="L15" s="406"/>
      <c r="M15" s="503" t="str">
        <f>IF(D15="My fuels","-",_xlfn.IFNA(IF(VLOOKUP(E15,'2. Settings'!$B$15:$C$47,2,FALSE)="","Please enter fuel density in Settings.",VLOOKUP(E15,'2. Settings'!$B$15:$C$47,2,FALSE)),""))</f>
        <v/>
      </c>
      <c r="N15" s="503" t="str">
        <f>IF(D15="My fuels","-",_xlfn.IFNA(IF(VLOOKUP(E15,'2. Settings'!$B$15:$D$47,3,FALSE)="","Please enter fuel density in Settings.",VLOOKUP(E15,'2. Settings'!$B$15:$D$47,3,FALSE)),""))</f>
        <v/>
      </c>
      <c r="O15" s="503" t="str">
        <f>_xlfn.IFNA(IF(AND(VLOOKUP(VLOOKUP(E15,'2. Settings'!$B$57:$Q$75,7,FALSE),General_listings!$C$323:$D$336,2,FALSE)=VLOOKUP(I15,General_listings!$C$323:$D$336,2,FALSE),
VLOOKUP(E15,'2. Settings'!$B$57:$Q$75,16,FALSE)=L15),"","!Please select appropriate fuel amount units cluster and/or heating value basis"),"")</f>
        <v/>
      </c>
      <c r="P15" s="410" t="str">
        <f>IF(ISERROR(IF(H15="", "", ghostSpreadsheet_CO2!AW17)), "", IF(H15="", "", ghostSpreadsheet_CO2!AW17))</f>
        <v/>
      </c>
      <c r="Q15" s="410" t="str">
        <f>IF(ISERROR(IF(H15="", "", IF(ghostSpreadsheet_CH4!AH17=0, "", ghostSpreadsheet_CH4!AH17))), "", IF(H15="", "", IF(ghostSpreadsheet_CH4!AH17=0, "", ghostSpreadsheet_CH4!AH17)))</f>
        <v/>
      </c>
      <c r="R15" s="435" t="str">
        <f>IF(ISERROR(IF(H15="","",IF(ghostSpreadsheet_N2O!AI17=0, "", ghostSpreadsheet_N2O!AI17))), "", IF(H15="","",IF(ghostSpreadsheet_N2O!AI17=0, "", ghostSpreadsheet_N2O!AI17)))</f>
        <v/>
      </c>
      <c r="S15" s="411">
        <f t="shared" si="2"/>
        <v>0</v>
      </c>
      <c r="T15" s="411">
        <f t="shared" si="6"/>
        <v>0</v>
      </c>
      <c r="U15" s="410" t="str">
        <f>IF(ISERROR((S15*(VLOOKUP('2. Settings'!$C$7,GWPTable,3,FALSE)))+(T15*(VLOOKUP('2. Settings'!$C$7,GWPTable,4,FALSE)) +P15)),"",P15+(S15*(VLOOKUP('2. Settings'!$C$7,GWPTable,3,FALSE)))+(T15*(VLOOKUP('2. Settings'!$C$7,GWPTable,4,FALSE))))</f>
        <v/>
      </c>
      <c r="V15" s="423" t="str">
        <f>IF(ISERROR(IF(H15="", "", IF(ghostSpreadsheet_CO2!AX17=0, "", ghostSpreadsheet_CO2!AX17))), "", IF(H15="", "", IF(ghostSpreadsheet_CO2!AX17=0, "", ghostSpreadsheet_CO2!AX17)))</f>
        <v/>
      </c>
      <c r="W15" s="496" t="str" cm="1">
        <f t="array" ref="W15">IFERROR(_xlfn.IFS(AND(ISNUMBER(P15),D15&lt;&gt;"My fuels",D15&lt;&gt;"Biomass"),ROUND((ghostSpreadsheet_CO2!I17)/(ghostSpreadsheet_CO2!F17),INT(5-LOG(ghostSpreadsheet_CO2!I17)))&amp;" kg CO2/TJ",
AND(ISNUMBER(P15),D15="My fuels",VLOOKUP(D15,customTable,2,FALSE)=TRUE),ghostSpreadsheet_CO2!AO17),"-")</f>
        <v>-</v>
      </c>
      <c r="X15" s="440" t="str" cm="1">
        <f t="array" aca="1" ref="X15" ca="1">IFERROR(_xlfn.IFS(AND(ISNUMBER(Q15),D15&lt;&gt;"My fuels"),ROUND(((ghostSpreadsheet_CH4!I17)/(ghostSpreadsheet_CH4!E17)),INT(2-LOG(ghostSpreadsheet_CH4!I17)))&amp;" kg CH4/TJ",
AND(ISNUMBER(Q15),D15="My fuels"),ghostSpreadsheet_CH4!AD17),"-")</f>
        <v>-</v>
      </c>
      <c r="Y15" s="440" t="str" cm="1">
        <f t="array" aca="1" ref="Y15" ca="1">IFERROR(_xlfn.IFS(AND(ISNUMBER(R15),D15&lt;&gt;"My fuels"),ROUND(((ghostSpreadsheet_N2O!J17)/(ghostSpreadsheet_N2O!E17)),INT(2-LOG(ghostSpreadsheet_N2O!J17)))&amp;" kg/TJ",
AND(ISNUMBER(R15),D15="My fuels"),ghostSpreadsheet_N2O!AE17),"-")</f>
        <v>-</v>
      </c>
      <c r="Z15" s="440" t="str" cm="1">
        <f t="array" ref="Z15">IFERROR(_xlfn.IFS(AND(ISNUMBER(V15),D15&lt;&gt;"My fuels",D15="Biomass"),ROUND(ghostSpreadsheet_CO2!I17/(ghostSpreadsheet_CO2!F17),INT(5-LOG(ghostSpreadsheet_CO2!I17)))&amp;" kg CO2/TJ",
AND(ISNUMBER(V15),D15="My fuels",VLOOKUP(D15,customTable,2,FALSE)=Biomass),ghostSpreadsheet_CO2!AO17),"-")</f>
        <v>-</v>
      </c>
      <c r="AA15" s="494" t="str">
        <f>IF(ghostSpreadsheet_CH4!J17="","",ghostSpreadsheet_CO2!K17)</f>
        <v/>
      </c>
      <c r="AB15" s="446" t="str" cm="1">
        <f t="array" ref="AB15">_xlfn.IFNA(_xlfn.IFS(
AND(I15&lt;&gt;"Therm",I15&lt;&gt;"mmBtu",I15&lt;&gt;"TJ",I15&lt;&gt;"MJ",I15&lt;&gt;"GJ",I15&lt;&gt;"kWh",ISTEXT(I15),D15&lt;&gt;"My fuels"),
I15&amp;" to"&amp;" "&amp;"TJ based on fuel's density and heat content (or calorific value)",
AND(OR(I15="Therm",I15="mmBtu",I15="MJ",I15="GJ",I15="kWh"),D15&lt;&gt;"My fuels"),
I15&amp;" to"&amp;" "&amp;"TJ based on energy conversion",
(VLOOKUP(E15,customTable,7,FALSE)&lt;&gt;I15),I15&amp;" to"&amp;" "&amp;VLOOKUP(E15,customTable,7,FALSE)),"")</f>
        <v/>
      </c>
      <c r="AC15"/>
      <c r="AD15"/>
      <c r="AE15"/>
      <c r="AF15"/>
    </row>
    <row r="16" spans="2:32" s="132" customFormat="1" ht="32.25" customHeight="1" x14ac:dyDescent="0.25">
      <c r="B16" s="530"/>
      <c r="C16" s="407"/>
      <c r="D16" s="406"/>
      <c r="E16" s="408"/>
      <c r="F16" s="404" t="str">
        <f t="shared" si="0"/>
        <v/>
      </c>
      <c r="G16" s="404" t="str">
        <f t="shared" si="1"/>
        <v/>
      </c>
      <c r="H16" s="409"/>
      <c r="I16" s="406"/>
      <c r="J16" s="404" t="str">
        <f>IF(ISERROR(VLOOKUP(I16,unitStates,3,FALSE)), "", IF(VLOOKUP(I16,unitStates,3,FALSE)=0, IF(D16="My fuels", VLOOKUP('3. Calculator'!E16,customTable,16, FALSE),"HVList"), "notApplicable"))</f>
        <v/>
      </c>
      <c r="K16" s="404" t="b">
        <f t="shared" si="4"/>
        <v>1</v>
      </c>
      <c r="L16" s="406"/>
      <c r="M16" s="503" t="str">
        <f>IF(D16="My fuels","-",_xlfn.IFNA(IF(VLOOKUP(E16,'2. Settings'!$B$15:$C$47,2,FALSE)="","Please enter fuel density in Settings.",VLOOKUP(E16,'2. Settings'!$B$15:$C$47,2,FALSE)),""))</f>
        <v/>
      </c>
      <c r="N16" s="503" t="str">
        <f>IF(D16="My fuels","-",_xlfn.IFNA(IF(VLOOKUP(E16,'2. Settings'!$B$15:$D$47,3,FALSE)="","Please enter fuel density in Settings.",VLOOKUP(E16,'2. Settings'!$B$15:$D$47,3,FALSE)),""))</f>
        <v/>
      </c>
      <c r="O16" s="503" t="str">
        <f>_xlfn.IFNA(IF(AND(VLOOKUP(VLOOKUP(E16,'2. Settings'!$B$57:$Q$75,7,FALSE),General_listings!$C$323:$D$336,2,FALSE)=VLOOKUP(I16,General_listings!$C$323:$D$336,2,FALSE),
VLOOKUP(E16,'2. Settings'!$B$57:$Q$75,16,FALSE)=L16),"","!Please select appropriate fuel amount units cluster and/or heating value basis"),"")</f>
        <v/>
      </c>
      <c r="P16" s="410" t="str">
        <f>IF(ISERROR(IF(H16="", "", ghostSpreadsheet_CO2!AW18)), "", IF(H16="", "", ghostSpreadsheet_CO2!AW18))</f>
        <v/>
      </c>
      <c r="Q16" s="410" t="str">
        <f>IF(ISERROR(IF(H16="", "", IF(ghostSpreadsheet_CH4!AH18=0, "", ghostSpreadsheet_CH4!AH18))), "", IF(H16="", "", IF(ghostSpreadsheet_CH4!AH18=0, "", ghostSpreadsheet_CH4!AH18)))</f>
        <v/>
      </c>
      <c r="R16" s="435" t="str">
        <f>IF(ISERROR(IF(H16="","",IF(ghostSpreadsheet_N2O!AI18=0, "", ghostSpreadsheet_N2O!AI18))), "", IF(H16="","",IF(ghostSpreadsheet_N2O!AI18=0, "", ghostSpreadsheet_N2O!AI18)))</f>
        <v/>
      </c>
      <c r="S16" s="411">
        <f t="shared" si="2"/>
        <v>0</v>
      </c>
      <c r="T16" s="411">
        <f t="shared" si="6"/>
        <v>0</v>
      </c>
      <c r="U16" s="410" t="str">
        <f>IF(ISERROR((S16*(VLOOKUP('2. Settings'!$C$7,GWPTable,3,FALSE)))+(T16*(VLOOKUP('2. Settings'!$C$7,GWPTable,4,FALSE)) +P16)),"",P16+(S16*(VLOOKUP('2. Settings'!$C$7,GWPTable,3,FALSE)))+(T16*(VLOOKUP('2. Settings'!$C$7,GWPTable,4,FALSE))))</f>
        <v/>
      </c>
      <c r="V16" s="423" t="str">
        <f>IF(ISERROR(IF(H16="", "", IF(ghostSpreadsheet_CO2!AX18=0, "", ghostSpreadsheet_CO2!AX18))), "", IF(H16="", "", IF(ghostSpreadsheet_CO2!AX18=0, "", ghostSpreadsheet_CO2!AX18)))</f>
        <v/>
      </c>
      <c r="W16" s="496" t="str" cm="1">
        <f t="array" ref="W16">IFERROR(_xlfn.IFS(AND(ISNUMBER(P16),D16&lt;&gt;"My fuels",D16&lt;&gt;"Biomass"),ROUND((ghostSpreadsheet_CO2!I18)/(ghostSpreadsheet_CO2!F18),INT(5-LOG(ghostSpreadsheet_CO2!I18)))&amp;" kg CO2/TJ",
AND(ISNUMBER(P16),D16="My fuels",VLOOKUP(D16,customTable,2,FALSE)=TRUE),ghostSpreadsheet_CO2!AO18),"-")</f>
        <v>-</v>
      </c>
      <c r="X16" s="440" t="str" cm="1">
        <f t="array" aca="1" ref="X16" ca="1">IFERROR(_xlfn.IFS(AND(ISNUMBER(Q16),D16&lt;&gt;"My fuels"),ROUND(((ghostSpreadsheet_CH4!I18)/(ghostSpreadsheet_CH4!E18)),INT(2-LOG(ghostSpreadsheet_CH4!I18)))&amp;" kg CH4/TJ",
AND(ISNUMBER(Q16),D16="My fuels"),ghostSpreadsheet_CH4!AD18),"-")</f>
        <v>-</v>
      </c>
      <c r="Y16" s="440" t="str" cm="1">
        <f t="array" aca="1" ref="Y16" ca="1">IFERROR(_xlfn.IFS(AND(ISNUMBER(R16),D16&lt;&gt;"My fuels"),ROUND(((ghostSpreadsheet_N2O!J18)/(ghostSpreadsheet_N2O!E18)),INT(2-LOG(ghostSpreadsheet_N2O!J18)))&amp;" kg/TJ",
AND(ISNUMBER(R16),D16="My fuels"),ghostSpreadsheet_N2O!AE18),"-")</f>
        <v>-</v>
      </c>
      <c r="Z16" s="440" t="str" cm="1">
        <f t="array" ref="Z16">IFERROR(_xlfn.IFS(AND(ISNUMBER(V16),D16&lt;&gt;"My fuels",D16="Biomass"),ROUND(ghostSpreadsheet_CO2!I18/(ghostSpreadsheet_CO2!F18),INT(5-LOG(ghostSpreadsheet_CO2!I18)))&amp;" kg CO2/TJ",
AND(ISNUMBER(V16),D16="My fuels",VLOOKUP(D16,customTable,2,FALSE)=Biomass),ghostSpreadsheet_CO2!AO18),"-")</f>
        <v>-</v>
      </c>
      <c r="AA16" s="494" t="str">
        <f>IF(ghostSpreadsheet_CH4!J18="","",ghostSpreadsheet_CO2!K18)</f>
        <v/>
      </c>
      <c r="AB16" s="446" t="str" cm="1">
        <f t="array" ref="AB16">_xlfn.IFNA(_xlfn.IFS(
AND(I16&lt;&gt;"Therm",I16&lt;&gt;"mmBtu",I16&lt;&gt;"TJ",I16&lt;&gt;"MJ",I16&lt;&gt;"GJ",I16&lt;&gt;"kWh",ISTEXT(I16),D16&lt;&gt;"My fuels"),
I16&amp;" to"&amp;" "&amp;"TJ based on fuel's density and heat content (or calorific value)",
AND(OR(I16="Therm",I16="mmBtu",I16="MJ",I16="GJ",I16="kWh"),D16&lt;&gt;"My fuels"),
I16&amp;" to"&amp;" "&amp;"TJ based on energy conversion",
(VLOOKUP(E16,customTable,7,FALSE)&lt;&gt;I16),I16&amp;" to"&amp;" "&amp;VLOOKUP(E16,customTable,7,FALSE)),"")</f>
        <v/>
      </c>
      <c r="AC16"/>
      <c r="AD16"/>
      <c r="AE16"/>
      <c r="AF16"/>
    </row>
    <row r="17" spans="2:32" s="132" customFormat="1" ht="32.25" customHeight="1" x14ac:dyDescent="0.25">
      <c r="B17" s="530"/>
      <c r="C17" s="407"/>
      <c r="D17" s="406"/>
      <c r="E17" s="408"/>
      <c r="F17" s="404" t="str">
        <f t="shared" si="0"/>
        <v/>
      </c>
      <c r="G17" s="404" t="str">
        <f t="shared" si="1"/>
        <v/>
      </c>
      <c r="H17" s="409"/>
      <c r="I17" s="406"/>
      <c r="J17" s="404" t="str">
        <f>IF(ISERROR(VLOOKUP(I17,unitStates,3,FALSE)), "", IF(VLOOKUP(I17,unitStates,3,FALSE)=0, IF(D17="My fuels", VLOOKUP('3. Calculator'!E17,customTable,16, FALSE),"HVList"), "notApplicable"))</f>
        <v/>
      </c>
      <c r="K17" s="404" t="b">
        <f t="shared" si="4"/>
        <v>1</v>
      </c>
      <c r="L17" s="406"/>
      <c r="M17" s="503" t="str">
        <f>IF(D17="My fuels","-",_xlfn.IFNA(IF(VLOOKUP(E17,'2. Settings'!$B$15:$C$47,2,FALSE)="","Please enter fuel density in Settings.",VLOOKUP(E17,'2. Settings'!$B$15:$C$47,2,FALSE)),""))</f>
        <v/>
      </c>
      <c r="N17" s="503" t="str">
        <f>IF(D17="My fuels","-",_xlfn.IFNA(IF(VLOOKUP(E17,'2. Settings'!$B$15:$D$47,3,FALSE)="","Please enter fuel density in Settings.",VLOOKUP(E17,'2. Settings'!$B$15:$D$47,3,FALSE)),""))</f>
        <v/>
      </c>
      <c r="O17" s="503" t="str">
        <f>_xlfn.IFNA(IF(AND(VLOOKUP(VLOOKUP(E17,'2. Settings'!$B$57:$Q$75,7,FALSE),General_listings!$C$323:$D$336,2,FALSE)=VLOOKUP(I17,General_listings!$C$323:$D$336,2,FALSE),
VLOOKUP(E17,'2. Settings'!$B$57:$Q$75,16,FALSE)=L17),"","!Please select appropriate fuel amount units cluster and/or heating value basis"),"")</f>
        <v/>
      </c>
      <c r="P17" s="410" t="str">
        <f>IF(ISERROR(IF(H17="", "", ghostSpreadsheet_CO2!AW19)), "", IF(H17="", "", ghostSpreadsheet_CO2!AW19))</f>
        <v/>
      </c>
      <c r="Q17" s="410" t="str">
        <f>IF(ISERROR(IF(H17="", "", IF(ghostSpreadsheet_CH4!AH19=0, "", ghostSpreadsheet_CH4!AH19))), "", IF(H17="", "", IF(ghostSpreadsheet_CH4!AH19=0, "", ghostSpreadsheet_CH4!AH19)))</f>
        <v/>
      </c>
      <c r="R17" s="435" t="str">
        <f>IF(ISERROR(IF(H17="","",IF(ghostSpreadsheet_N2O!AI19=0, "", ghostSpreadsheet_N2O!AI19))), "", IF(H17="","",IF(ghostSpreadsheet_N2O!AI19=0, "", ghostSpreadsheet_N2O!AI19)))</f>
        <v/>
      </c>
      <c r="S17" s="411">
        <f t="shared" si="2"/>
        <v>0</v>
      </c>
      <c r="T17" s="411">
        <f t="shared" si="6"/>
        <v>0</v>
      </c>
      <c r="U17" s="410" t="str">
        <f>IF(ISERROR((S17*(VLOOKUP('2. Settings'!$C$7,GWPTable,3,FALSE)))+(T17*(VLOOKUP('2. Settings'!$C$7,GWPTable,4,FALSE)) +P17)),"",P17+(S17*(VLOOKUP('2. Settings'!$C$7,GWPTable,3,FALSE)))+(T17*(VLOOKUP('2. Settings'!$C$7,GWPTable,4,FALSE))))</f>
        <v/>
      </c>
      <c r="V17" s="423" t="str">
        <f>IF(ISERROR(IF(H17="", "", IF(ghostSpreadsheet_CO2!AX19=0, "", ghostSpreadsheet_CO2!AX19))), "", IF(H17="", "", IF(ghostSpreadsheet_CO2!AX19=0, "", ghostSpreadsheet_CO2!AX19)))</f>
        <v/>
      </c>
      <c r="W17" s="496" t="str" cm="1">
        <f t="array" ref="W17">IFERROR(_xlfn.IFS(AND(ISNUMBER(P17),D17&lt;&gt;"My fuels",D17&lt;&gt;"Biomass"),ROUND((ghostSpreadsheet_CO2!I19)/(ghostSpreadsheet_CO2!F19),INT(5-LOG(ghostSpreadsheet_CO2!I19)))&amp;" kg CO2/TJ",
AND(ISNUMBER(P17),D17="My fuels",VLOOKUP(D17,customTable,2,FALSE)=TRUE),ghostSpreadsheet_CO2!AO19),"-")</f>
        <v>-</v>
      </c>
      <c r="X17" s="440" t="str" cm="1">
        <f t="array" aca="1" ref="X17" ca="1">IFERROR(_xlfn.IFS(AND(ISNUMBER(Q17),D17&lt;&gt;"My fuels"),ROUND(((ghostSpreadsheet_CH4!I19)/(ghostSpreadsheet_CH4!E19)),INT(2-LOG(ghostSpreadsheet_CH4!I19)))&amp;" kg CH4/TJ",
AND(ISNUMBER(Q17),D17="My fuels"),ghostSpreadsheet_CH4!AD19),"-")</f>
        <v>-</v>
      </c>
      <c r="Y17" s="440" t="str" cm="1">
        <f t="array" aca="1" ref="Y17" ca="1">IFERROR(_xlfn.IFS(AND(ISNUMBER(R17),D17&lt;&gt;"My fuels"),ROUND(((ghostSpreadsheet_N2O!J19)/(ghostSpreadsheet_N2O!E19)),INT(2-LOG(ghostSpreadsheet_N2O!J19)))&amp;" kg/TJ",
AND(ISNUMBER(R17),D17="My fuels"),ghostSpreadsheet_N2O!AE19),"-")</f>
        <v>-</v>
      </c>
      <c r="Z17" s="440" t="str" cm="1">
        <f t="array" ref="Z17">IFERROR(_xlfn.IFS(AND(ISNUMBER(V17),D17&lt;&gt;"My fuels",D17="Biomass"),ROUND(ghostSpreadsheet_CO2!I19/(ghostSpreadsheet_CO2!F19),INT(5-LOG(ghostSpreadsheet_CO2!I19)))&amp;" kg CO2/TJ",
AND(ISNUMBER(V17),D17="My fuels",VLOOKUP(D17,customTable,2,FALSE)=Biomass),ghostSpreadsheet_CO2!AO19),"-")</f>
        <v>-</v>
      </c>
      <c r="AA17" s="494" t="str">
        <f>IF(ghostSpreadsheet_CH4!J19="","",ghostSpreadsheet_CO2!K19)</f>
        <v/>
      </c>
      <c r="AB17" s="446" t="str" cm="1">
        <f t="array" ref="AB17">_xlfn.IFNA(_xlfn.IFS(
AND(I17&lt;&gt;"Therm",I17&lt;&gt;"mmBtu",I17&lt;&gt;"TJ",I17&lt;&gt;"MJ",I17&lt;&gt;"GJ",I17&lt;&gt;"kWh",ISTEXT(I17),D17&lt;&gt;"My fuels"),
I17&amp;" to"&amp;" "&amp;"TJ based on fuel's density and heat content (or calorific value)",
AND(OR(I17="Therm",I17="mmBtu",I17="MJ",I17="GJ",I17="kWh"),D17&lt;&gt;"My fuels"),
I17&amp;" to"&amp;" "&amp;"TJ based on energy conversion",
(VLOOKUP(E17,customTable,7,FALSE)&lt;&gt;I17),I17&amp;" to"&amp;" "&amp;VLOOKUP(E17,customTable,7,FALSE)),"")</f>
        <v/>
      </c>
      <c r="AC17"/>
      <c r="AD17"/>
      <c r="AE17"/>
      <c r="AF17"/>
    </row>
    <row r="18" spans="2:32" s="132" customFormat="1" ht="32.25" customHeight="1" x14ac:dyDescent="0.25">
      <c r="B18" s="530"/>
      <c r="C18" s="407"/>
      <c r="D18" s="406"/>
      <c r="E18" s="408"/>
      <c r="F18" s="404" t="str">
        <f t="shared" si="0"/>
        <v/>
      </c>
      <c r="G18" s="404" t="str">
        <f t="shared" si="1"/>
        <v/>
      </c>
      <c r="H18" s="409"/>
      <c r="I18" s="406"/>
      <c r="J18" s="404" t="str">
        <f>IF(ISERROR(VLOOKUP(I18,unitStates,3,FALSE)), "", IF(VLOOKUP(I18,unitStates,3,FALSE)=0, IF(D18="My fuels", VLOOKUP('3. Calculator'!E18,customTable,16, FALSE),"HVList"), "notApplicable"))</f>
        <v/>
      </c>
      <c r="K18" s="404" t="b">
        <f t="shared" si="4"/>
        <v>1</v>
      </c>
      <c r="L18" s="406"/>
      <c r="M18" s="503" t="str">
        <f>IF(D18="My fuels","-",_xlfn.IFNA(IF(VLOOKUP(E18,'2. Settings'!$B$15:$C$47,2,FALSE)="","Please enter fuel density in Settings.",VLOOKUP(E18,'2. Settings'!$B$15:$C$47,2,FALSE)),""))</f>
        <v/>
      </c>
      <c r="N18" s="503" t="str">
        <f>IF(D18="My fuels","-",_xlfn.IFNA(IF(VLOOKUP(E18,'2. Settings'!$B$15:$D$47,3,FALSE)="","Please enter fuel density in Settings.",VLOOKUP(E18,'2. Settings'!$B$15:$D$47,3,FALSE)),""))</f>
        <v/>
      </c>
      <c r="O18" s="503" t="str">
        <f>_xlfn.IFNA(IF(AND(VLOOKUP(VLOOKUP(E18,'2. Settings'!$B$57:$Q$75,7,FALSE),General_listings!$C$323:$D$336,2,FALSE)=VLOOKUP(I18,General_listings!$C$323:$D$336,2,FALSE),
VLOOKUP(E18,'2. Settings'!$B$57:$Q$75,16,FALSE)=L18),"","!Please select appropriate fuel amount units cluster and/or heating value basis"),"")</f>
        <v/>
      </c>
      <c r="P18" s="410" t="str">
        <f>IF(ISERROR(IF(H18="", "", ghostSpreadsheet_CO2!AW20)), "", IF(H18="", "", ghostSpreadsheet_CO2!AW20))</f>
        <v/>
      </c>
      <c r="Q18" s="410" t="str">
        <f>IF(ISERROR(IF(H18="", "", IF(ghostSpreadsheet_CH4!AH20=0, "", ghostSpreadsheet_CH4!AH20))), "", IF(H18="", "", IF(ghostSpreadsheet_CH4!AH20=0, "", ghostSpreadsheet_CH4!AH20)))</f>
        <v/>
      </c>
      <c r="R18" s="435" t="str">
        <f>IF(ISERROR(IF(H18="","",IF(ghostSpreadsheet_N2O!AI20=0, "", ghostSpreadsheet_N2O!AI20))), "", IF(H18="","",IF(ghostSpreadsheet_N2O!AI20=0, "", ghostSpreadsheet_N2O!AI20)))</f>
        <v/>
      </c>
      <c r="S18" s="411">
        <f t="shared" si="2"/>
        <v>0</v>
      </c>
      <c r="T18" s="411">
        <f t="shared" si="6"/>
        <v>0</v>
      </c>
      <c r="U18" s="410" t="str">
        <f>IF(ISERROR((S18*(VLOOKUP('2. Settings'!$C$7,GWPTable,3,FALSE)))+(T18*(VLOOKUP('2. Settings'!$C$7,GWPTable,4,FALSE)) +P18)),"",P18+(S18*(VLOOKUP('2. Settings'!$C$7,GWPTable,3,FALSE)))+(T18*(VLOOKUP('2. Settings'!$C$7,GWPTable,4,FALSE))))</f>
        <v/>
      </c>
      <c r="V18" s="423" t="str">
        <f>IF(ISERROR(IF(H18="", "", IF(ghostSpreadsheet_CO2!AX20=0, "", ghostSpreadsheet_CO2!AX20))), "", IF(H18="", "", IF(ghostSpreadsheet_CO2!AX20=0, "", ghostSpreadsheet_CO2!AX20)))</f>
        <v/>
      </c>
      <c r="W18" s="496" t="str" cm="1">
        <f t="array" ref="W18">IFERROR(_xlfn.IFS(AND(ISNUMBER(P18),D18&lt;&gt;"My fuels",D18&lt;&gt;"Biomass"),ROUND((ghostSpreadsheet_CO2!I20)/(ghostSpreadsheet_CO2!F20),INT(5-LOG(ghostSpreadsheet_CO2!I20)))&amp;" kg CO2/TJ",
AND(ISNUMBER(P18),D18="My fuels",VLOOKUP(D18,customTable,2,FALSE)=TRUE),ghostSpreadsheet_CO2!AO20),"-")</f>
        <v>-</v>
      </c>
      <c r="X18" s="440" t="str" cm="1">
        <f t="array" aca="1" ref="X18" ca="1">IFERROR(_xlfn.IFS(AND(ISNUMBER(Q18),D18&lt;&gt;"My fuels"),ROUND(((ghostSpreadsheet_CH4!I20)/(ghostSpreadsheet_CH4!E20)),INT(2-LOG(ghostSpreadsheet_CH4!I20)))&amp;" kg CH4/TJ",
AND(ISNUMBER(Q18),D18="My fuels"),ghostSpreadsheet_CH4!AD20),"-")</f>
        <v>-</v>
      </c>
      <c r="Y18" s="440" t="str" cm="1">
        <f t="array" aca="1" ref="Y18" ca="1">IFERROR(_xlfn.IFS(AND(ISNUMBER(R18),D18&lt;&gt;"My fuels"),ROUND(((ghostSpreadsheet_N2O!J20)/(ghostSpreadsheet_N2O!E20)),INT(2-LOG(ghostSpreadsheet_N2O!J20)))&amp;" kg/TJ",
AND(ISNUMBER(R18),D18="My fuels"),ghostSpreadsheet_N2O!AE20),"-")</f>
        <v>-</v>
      </c>
      <c r="Z18" s="440" t="str" cm="1">
        <f t="array" ref="Z18">IFERROR(_xlfn.IFS(AND(ISNUMBER(V18),D18&lt;&gt;"My fuels",D18="Biomass"),ROUND(ghostSpreadsheet_CO2!I20/(ghostSpreadsheet_CO2!F20),INT(5-LOG(ghostSpreadsheet_CO2!I20)))&amp;" kg CO2/TJ",
AND(ISNUMBER(V18),D18="My fuels",VLOOKUP(D18,customTable,2,FALSE)=Biomass),ghostSpreadsheet_CO2!AO20),"-")</f>
        <v>-</v>
      </c>
      <c r="AA18" s="494" t="str">
        <f>IF(ghostSpreadsheet_CH4!J20="","",ghostSpreadsheet_CO2!K20)</f>
        <v/>
      </c>
      <c r="AB18" s="446" t="str" cm="1">
        <f t="array" ref="AB18">_xlfn.IFNA(_xlfn.IFS(
AND(I18&lt;&gt;"Therm",I18&lt;&gt;"mmBtu",I18&lt;&gt;"TJ",I18&lt;&gt;"MJ",I18&lt;&gt;"GJ",I18&lt;&gt;"kWh",ISTEXT(I18),D18&lt;&gt;"My fuels"),
I18&amp;" to"&amp;" "&amp;"TJ based on fuel's density and heat content (or calorific value)",
AND(OR(I18="Therm",I18="mmBtu",I18="MJ",I18="GJ",I18="kWh"),D18&lt;&gt;"My fuels"),
I18&amp;" to"&amp;" "&amp;"TJ based on energy conversion",
(VLOOKUP(E18,customTable,7,FALSE)&lt;&gt;I18),I18&amp;" to"&amp;" "&amp;VLOOKUP(E18,customTable,7,FALSE)),"")</f>
        <v/>
      </c>
      <c r="AC18"/>
      <c r="AD18"/>
      <c r="AE18"/>
      <c r="AF18"/>
    </row>
    <row r="19" spans="2:32" s="132" customFormat="1" ht="32.25" customHeight="1" x14ac:dyDescent="0.25">
      <c r="B19" s="530"/>
      <c r="C19" s="407"/>
      <c r="D19" s="406"/>
      <c r="E19" s="408"/>
      <c r="F19" s="404" t="str">
        <f t="shared" si="0"/>
        <v/>
      </c>
      <c r="G19" s="404" t="str">
        <f t="shared" si="1"/>
        <v/>
      </c>
      <c r="H19" s="409"/>
      <c r="I19" s="406"/>
      <c r="J19" s="404" t="str">
        <f>IF(ISERROR(VLOOKUP(I19,unitStates,3,FALSE)), "", IF(VLOOKUP(I19,unitStates,3,FALSE)=0, IF(D19="My fuels", VLOOKUP('3. Calculator'!E19,customTable,16, FALSE),"HVList"), "notApplicable"))</f>
        <v/>
      </c>
      <c r="K19" s="404" t="b">
        <f t="shared" si="4"/>
        <v>1</v>
      </c>
      <c r="L19" s="406"/>
      <c r="M19" s="503" t="str">
        <f>IF(D19="My fuels","-",_xlfn.IFNA(IF(VLOOKUP(E19,'2. Settings'!$B$15:$C$47,2,FALSE)="","Please enter fuel density in Settings.",VLOOKUP(E19,'2. Settings'!$B$15:$C$47,2,FALSE)),""))</f>
        <v/>
      </c>
      <c r="N19" s="503" t="str">
        <f>IF(D19="My fuels","-",_xlfn.IFNA(IF(VLOOKUP(E19,'2. Settings'!$B$15:$D$47,3,FALSE)="","Please enter fuel density in Settings.",VLOOKUP(E19,'2. Settings'!$B$15:$D$47,3,FALSE)),""))</f>
        <v/>
      </c>
      <c r="O19" s="503" t="str">
        <f>_xlfn.IFNA(IF(AND(VLOOKUP(VLOOKUP(E19,'2. Settings'!$B$57:$Q$75,7,FALSE),General_listings!$C$323:$D$336,2,FALSE)=VLOOKUP(I19,General_listings!$C$323:$D$336,2,FALSE),
VLOOKUP(E19,'2. Settings'!$B$57:$Q$75,16,FALSE)=L19),"","!Please select appropriate fuel amount units cluster and/or heating value basis"),"")</f>
        <v/>
      </c>
      <c r="P19" s="410" t="str">
        <f>IF(ISERROR(IF(H19="", "", ghostSpreadsheet_CO2!AW21)), "", IF(H19="", "", ghostSpreadsheet_CO2!AW21))</f>
        <v/>
      </c>
      <c r="Q19" s="410" t="str">
        <f>IF(ISERROR(IF(H19="", "", IF(ghostSpreadsheet_CH4!AH21=0, "", ghostSpreadsheet_CH4!AH21))), "", IF(H19="", "", IF(ghostSpreadsheet_CH4!AH21=0, "", ghostSpreadsheet_CH4!AH21)))</f>
        <v/>
      </c>
      <c r="R19" s="435" t="str">
        <f>IF(ISERROR(IF(H19="","",IF(ghostSpreadsheet_N2O!AI21=0, "", ghostSpreadsheet_N2O!AI21))), "", IF(H19="","",IF(ghostSpreadsheet_N2O!AI21=0, "", ghostSpreadsheet_N2O!AI21)))</f>
        <v/>
      </c>
      <c r="S19" s="411">
        <f t="shared" si="2"/>
        <v>0</v>
      </c>
      <c r="T19" s="411">
        <f t="shared" si="6"/>
        <v>0</v>
      </c>
      <c r="U19" s="410" t="str">
        <f>IF(ISERROR((S19*(VLOOKUP('2. Settings'!$C$7,GWPTable,3,FALSE)))+(T19*(VLOOKUP('2. Settings'!$C$7,GWPTable,4,FALSE)) +P19)),"",P19+(S19*(VLOOKUP('2. Settings'!$C$7,GWPTable,3,FALSE)))+(T19*(VLOOKUP('2. Settings'!$C$7,GWPTable,4,FALSE))))</f>
        <v/>
      </c>
      <c r="V19" s="423" t="str">
        <f>IF(ISERROR(IF(H19="", "", IF(ghostSpreadsheet_CO2!AX21=0, "", ghostSpreadsheet_CO2!AX21))), "", IF(H19="", "", IF(ghostSpreadsheet_CO2!AX21=0, "", ghostSpreadsheet_CO2!AX21)))</f>
        <v/>
      </c>
      <c r="W19" s="496" t="str" cm="1">
        <f t="array" ref="W19">IFERROR(_xlfn.IFS(AND(ISNUMBER(P19),D19&lt;&gt;"My fuels",D19&lt;&gt;"Biomass"),ROUND((ghostSpreadsheet_CO2!I21)/(ghostSpreadsheet_CO2!F21),INT(5-LOG(ghostSpreadsheet_CO2!I21)))&amp;" kg CO2/TJ",
AND(ISNUMBER(P19),D19="My fuels",VLOOKUP(D19,customTable,2,FALSE)=TRUE),ghostSpreadsheet_CO2!AO21),"-")</f>
        <v>-</v>
      </c>
      <c r="X19" s="440" t="str" cm="1">
        <f t="array" aca="1" ref="X19" ca="1">IFERROR(_xlfn.IFS(AND(ISNUMBER(Q19),D19&lt;&gt;"My fuels"),ROUND(((ghostSpreadsheet_CH4!I21)/(ghostSpreadsheet_CH4!E21)),INT(2-LOG(ghostSpreadsheet_CH4!I21)))&amp;" kg CH4/TJ",
AND(ISNUMBER(Q19),D19="My fuels"),ghostSpreadsheet_CH4!AD21),"-")</f>
        <v>-</v>
      </c>
      <c r="Y19" s="440" t="str" cm="1">
        <f t="array" aca="1" ref="Y19" ca="1">IFERROR(_xlfn.IFS(AND(ISNUMBER(R19),D19&lt;&gt;"My fuels"),ROUND(((ghostSpreadsheet_N2O!J21)/(ghostSpreadsheet_N2O!E21)),INT(2-LOG(ghostSpreadsheet_N2O!J21)))&amp;" kg/TJ",
AND(ISNUMBER(R19),D19="My fuels"),ghostSpreadsheet_N2O!AE21),"-")</f>
        <v>-</v>
      </c>
      <c r="Z19" s="440" t="str" cm="1">
        <f t="array" ref="Z19">IFERROR(_xlfn.IFS(AND(ISNUMBER(V19),D19&lt;&gt;"My fuels",D19="Biomass"),ROUND(ghostSpreadsheet_CO2!I21/(ghostSpreadsheet_CO2!F21),INT(5-LOG(ghostSpreadsheet_CO2!I21)))&amp;" kg CO2/TJ",
AND(ISNUMBER(V19),D19="My fuels",VLOOKUP(D19,customTable,2,FALSE)=Biomass),ghostSpreadsheet_CO2!AO21),"-")</f>
        <v>-</v>
      </c>
      <c r="AA19" s="494" t="str">
        <f>IF(ghostSpreadsheet_CH4!J21="","",ghostSpreadsheet_CO2!K21)</f>
        <v/>
      </c>
      <c r="AB19" s="446" t="str" cm="1">
        <f t="array" ref="AB19">_xlfn.IFNA(_xlfn.IFS(
AND(I19&lt;&gt;"Therm",I19&lt;&gt;"mmBtu",I19&lt;&gt;"TJ",I19&lt;&gt;"MJ",I19&lt;&gt;"GJ",I19&lt;&gt;"kWh",ISTEXT(I19),D19&lt;&gt;"My fuels"),
I19&amp;" to"&amp;" "&amp;"TJ based on fuel's density and heat content (or calorific value)",
AND(OR(I19="Therm",I19="mmBtu",I19="MJ",I19="GJ",I19="kWh"),D19&lt;&gt;"My fuels"),
I19&amp;" to"&amp;" "&amp;"TJ based on energy conversion",
(VLOOKUP(E19,customTable,7,FALSE)&lt;&gt;I19),I19&amp;" to"&amp;" "&amp;VLOOKUP(E19,customTable,7,FALSE)),"")</f>
        <v/>
      </c>
      <c r="AC19"/>
      <c r="AD19"/>
      <c r="AE19"/>
      <c r="AF19"/>
    </row>
    <row r="20" spans="2:32" s="132" customFormat="1" ht="32.25" customHeight="1" x14ac:dyDescent="0.25">
      <c r="B20" s="530"/>
      <c r="C20" s="407"/>
      <c r="D20" s="406"/>
      <c r="E20" s="408"/>
      <c r="F20" s="404" t="str">
        <f t="shared" si="0"/>
        <v/>
      </c>
      <c r="G20" s="404" t="str">
        <f t="shared" si="1"/>
        <v/>
      </c>
      <c r="H20" s="409"/>
      <c r="I20" s="406"/>
      <c r="J20" s="404" t="str">
        <f>IF(ISERROR(VLOOKUP(I20,unitStates,3,FALSE)), "", IF(VLOOKUP(I20,unitStates,3,FALSE)=0, IF(D20="My fuels", VLOOKUP('3. Calculator'!E20,customTable,16, FALSE),"HVList"), "notApplicable"))</f>
        <v/>
      </c>
      <c r="K20" s="404" t="b">
        <f t="shared" si="4"/>
        <v>1</v>
      </c>
      <c r="L20" s="406"/>
      <c r="M20" s="503" t="str">
        <f>IF(D20="My fuels","-",_xlfn.IFNA(IF(VLOOKUP(E20,'2. Settings'!$B$15:$C$47,2,FALSE)="","Please enter fuel density in Settings.",VLOOKUP(E20,'2. Settings'!$B$15:$C$47,2,FALSE)),""))</f>
        <v/>
      </c>
      <c r="N20" s="503" t="str">
        <f>IF(D20="My fuels","-",_xlfn.IFNA(IF(VLOOKUP(E20,'2. Settings'!$B$15:$D$47,3,FALSE)="","Please enter fuel density in Settings.",VLOOKUP(E20,'2. Settings'!$B$15:$D$47,3,FALSE)),""))</f>
        <v/>
      </c>
      <c r="O20" s="503" t="str">
        <f>_xlfn.IFNA(IF(AND(VLOOKUP(VLOOKUP(E20,'2. Settings'!$B$57:$Q$75,7,FALSE),General_listings!$C$323:$D$336,2,FALSE)=VLOOKUP(I20,General_listings!$C$323:$D$336,2,FALSE),
VLOOKUP(E20,'2. Settings'!$B$57:$Q$75,16,FALSE)=L20),"","!Please select appropriate fuel amount units cluster and/or heating value basis"),"")</f>
        <v/>
      </c>
      <c r="P20" s="410" t="str">
        <f>IF(ISERROR(IF(H20="", "", ghostSpreadsheet_CO2!AW22)), "", IF(H20="", "", ghostSpreadsheet_CO2!AW22))</f>
        <v/>
      </c>
      <c r="Q20" s="410" t="str">
        <f>IF(ISERROR(IF(H20="", "", IF(ghostSpreadsheet_CH4!AH22=0, "", ghostSpreadsheet_CH4!AH22))), "", IF(H20="", "", IF(ghostSpreadsheet_CH4!AH22=0, "", ghostSpreadsheet_CH4!AH22)))</f>
        <v/>
      </c>
      <c r="R20" s="435" t="str">
        <f>IF(ISERROR(IF(H20="","",IF(ghostSpreadsheet_N2O!AI22=0, "", ghostSpreadsheet_N2O!AI22))), "", IF(H20="","",IF(ghostSpreadsheet_N2O!AI22=0, "", ghostSpreadsheet_N2O!AI22)))</f>
        <v/>
      </c>
      <c r="S20" s="411">
        <f t="shared" si="2"/>
        <v>0</v>
      </c>
      <c r="T20" s="411">
        <f t="shared" si="6"/>
        <v>0</v>
      </c>
      <c r="U20" s="410" t="str">
        <f>IF(ISERROR((S20*(VLOOKUP('2. Settings'!$C$7,GWPTable,3,FALSE)))+(T20*(VLOOKUP('2. Settings'!$C$7,GWPTable,4,FALSE)) +P20)),"",P20+(S20*(VLOOKUP('2. Settings'!$C$7,GWPTable,3,FALSE)))+(T20*(VLOOKUP('2. Settings'!$C$7,GWPTable,4,FALSE))))</f>
        <v/>
      </c>
      <c r="V20" s="423" t="str">
        <f>IF(ISERROR(IF(H20="", "", IF(ghostSpreadsheet_CO2!AX22=0, "", ghostSpreadsheet_CO2!AX22))), "", IF(H20="", "", IF(ghostSpreadsheet_CO2!AX22=0, "", ghostSpreadsheet_CO2!AX22)))</f>
        <v/>
      </c>
      <c r="W20" s="496" t="str" cm="1">
        <f t="array" ref="W20">IFERROR(_xlfn.IFS(AND(ISNUMBER(P20),D20&lt;&gt;"My fuels",D20&lt;&gt;"Biomass"),ROUND((ghostSpreadsheet_CO2!I22)/(ghostSpreadsheet_CO2!F22),INT(5-LOG(ghostSpreadsheet_CO2!I22)))&amp;" kg CO2/TJ",
AND(ISNUMBER(P20),D20="My fuels",VLOOKUP(D20,customTable,2,FALSE)=TRUE),ghostSpreadsheet_CO2!AO22),"-")</f>
        <v>-</v>
      </c>
      <c r="X20" s="440" t="str" cm="1">
        <f t="array" aca="1" ref="X20" ca="1">IFERROR(_xlfn.IFS(AND(ISNUMBER(Q20),D20&lt;&gt;"My fuels"),ROUND(((ghostSpreadsheet_CH4!I22)/(ghostSpreadsheet_CH4!E22)),INT(2-LOG(ghostSpreadsheet_CH4!I22)))&amp;" kg CH4/TJ",
AND(ISNUMBER(Q20),D20="My fuels"),ghostSpreadsheet_CH4!AD22),"-")</f>
        <v>-</v>
      </c>
      <c r="Y20" s="440" t="str" cm="1">
        <f t="array" aca="1" ref="Y20" ca="1">IFERROR(_xlfn.IFS(AND(ISNUMBER(R20),D20&lt;&gt;"My fuels"),ROUND(((ghostSpreadsheet_N2O!J22)/(ghostSpreadsheet_N2O!E22)),INT(2-LOG(ghostSpreadsheet_N2O!J22)))&amp;" kg/TJ",
AND(ISNUMBER(R20),D20="My fuels"),ghostSpreadsheet_N2O!AE22),"-")</f>
        <v>-</v>
      </c>
      <c r="Z20" s="440" t="str" cm="1">
        <f t="array" ref="Z20">IFERROR(_xlfn.IFS(AND(ISNUMBER(V20),D20&lt;&gt;"My fuels",D20="Biomass"),ROUND(ghostSpreadsheet_CO2!I22/(ghostSpreadsheet_CO2!F22),INT(5-LOG(ghostSpreadsheet_CO2!I22)))&amp;" kg CO2/TJ",
AND(ISNUMBER(V20),D20="My fuels",VLOOKUP(D20,customTable,2,FALSE)=Biomass),ghostSpreadsheet_CO2!AO22),"-")</f>
        <v>-</v>
      </c>
      <c r="AA20" s="494" t="str">
        <f>IF(ghostSpreadsheet_CH4!J22="","",ghostSpreadsheet_CO2!K22)</f>
        <v/>
      </c>
      <c r="AB20" s="446" t="str" cm="1">
        <f t="array" ref="AB20">_xlfn.IFNA(_xlfn.IFS(
AND(I20&lt;&gt;"Therm",I20&lt;&gt;"mmBtu",I20&lt;&gt;"TJ",I20&lt;&gt;"MJ",I20&lt;&gt;"GJ",I20&lt;&gt;"kWh",ISTEXT(I20),D20&lt;&gt;"My fuels"),
I20&amp;" to"&amp;" "&amp;"TJ based on fuel's density and heat content (or calorific value)",
AND(OR(I20="Therm",I20="mmBtu",I20="MJ",I20="GJ",I20="kWh"),D20&lt;&gt;"My fuels"),
I20&amp;" to"&amp;" "&amp;"TJ based on energy conversion",
(VLOOKUP(E20,customTable,7,FALSE)&lt;&gt;I20),I20&amp;" to"&amp;" "&amp;VLOOKUP(E20,customTable,7,FALSE)),"")</f>
        <v/>
      </c>
      <c r="AC20"/>
      <c r="AD20"/>
      <c r="AE20"/>
      <c r="AF20"/>
    </row>
    <row r="21" spans="2:32" s="132" customFormat="1" ht="32.25" customHeight="1" x14ac:dyDescent="0.25">
      <c r="B21" s="530"/>
      <c r="C21" s="407"/>
      <c r="D21" s="406"/>
      <c r="E21" s="408"/>
      <c r="F21" s="404" t="str">
        <f t="shared" si="0"/>
        <v/>
      </c>
      <c r="G21" s="404" t="str">
        <f t="shared" si="1"/>
        <v/>
      </c>
      <c r="H21" s="409"/>
      <c r="I21" s="406"/>
      <c r="J21" s="404" t="str">
        <f>IF(ISERROR(VLOOKUP(I21,unitStates,3,FALSE)), "", IF(VLOOKUP(I21,unitStates,3,FALSE)=0, IF(D21="My fuels", VLOOKUP('3. Calculator'!E21,customTable,16, FALSE),"HVList"), "notApplicable"))</f>
        <v/>
      </c>
      <c r="K21" s="404" t="b">
        <f t="shared" si="4"/>
        <v>1</v>
      </c>
      <c r="L21" s="406"/>
      <c r="M21" s="503" t="str">
        <f>IF(D21="My fuels","-",_xlfn.IFNA(IF(VLOOKUP(E21,'2. Settings'!$B$15:$C$47,2,FALSE)="","Please enter fuel density in Settings.",VLOOKUP(E21,'2. Settings'!$B$15:$C$47,2,FALSE)),""))</f>
        <v/>
      </c>
      <c r="N21" s="503" t="str">
        <f>IF(D21="My fuels","-",_xlfn.IFNA(IF(VLOOKUP(E21,'2. Settings'!$B$15:$D$47,3,FALSE)="","Please enter fuel density in Settings.",VLOOKUP(E21,'2. Settings'!$B$15:$D$47,3,FALSE)),""))</f>
        <v/>
      </c>
      <c r="O21" s="503" t="str">
        <f>_xlfn.IFNA(IF(AND(VLOOKUP(VLOOKUP(E21,'2. Settings'!$B$57:$Q$75,7,FALSE),General_listings!$C$323:$D$336,2,FALSE)=VLOOKUP(I21,General_listings!$C$323:$D$336,2,FALSE),
VLOOKUP(E21,'2. Settings'!$B$57:$Q$75,16,FALSE)=L21),"","!Please select appropriate fuel amount units cluster and/or heating value basis"),"")</f>
        <v/>
      </c>
      <c r="P21" s="410" t="str">
        <f>IF(ISERROR(IF(H21="", "", ghostSpreadsheet_CO2!AW23)), "", IF(H21="", "", ghostSpreadsheet_CO2!AW23))</f>
        <v/>
      </c>
      <c r="Q21" s="410" t="str">
        <f>IF(ISERROR(IF(H21="", "", IF(ghostSpreadsheet_CH4!AH23=0, "", ghostSpreadsheet_CH4!AH23))), "", IF(H21="", "", IF(ghostSpreadsheet_CH4!AH23=0, "", ghostSpreadsheet_CH4!AH23)))</f>
        <v/>
      </c>
      <c r="R21" s="435" t="str">
        <f>IF(ISERROR(IF(H21="","",IF(ghostSpreadsheet_N2O!AI23=0, "", ghostSpreadsheet_N2O!AI23))), "", IF(H21="","",IF(ghostSpreadsheet_N2O!AI23=0, "", ghostSpreadsheet_N2O!AI23)))</f>
        <v/>
      </c>
      <c r="S21" s="411">
        <f t="shared" si="2"/>
        <v>0</v>
      </c>
      <c r="T21" s="411">
        <f t="shared" si="6"/>
        <v>0</v>
      </c>
      <c r="U21" s="410" t="str">
        <f>IF(ISERROR((S21*(VLOOKUP('2. Settings'!$C$7,GWPTable,3,FALSE)))+(T21*(VLOOKUP('2. Settings'!$C$7,GWPTable,4,FALSE)) +P21)),"",P21+(S21*(VLOOKUP('2. Settings'!$C$7,GWPTable,3,FALSE)))+(T21*(VLOOKUP('2. Settings'!$C$7,GWPTable,4,FALSE))))</f>
        <v/>
      </c>
      <c r="V21" s="423" t="str">
        <f>IF(ISERROR(IF(H21="", "", IF(ghostSpreadsheet_CO2!AX23=0, "", ghostSpreadsheet_CO2!AX23))), "", IF(H21="", "", IF(ghostSpreadsheet_CO2!AX23=0, "", ghostSpreadsheet_CO2!AX23)))</f>
        <v/>
      </c>
      <c r="W21" s="496" t="str" cm="1">
        <f t="array" ref="W21">IFERROR(_xlfn.IFS(AND(ISNUMBER(P21),D21&lt;&gt;"My fuels",D21&lt;&gt;"Biomass"),ROUND((ghostSpreadsheet_CO2!I23)/(ghostSpreadsheet_CO2!F23),INT(5-LOG(ghostSpreadsheet_CO2!I23)))&amp;" kg CO2/TJ",
AND(ISNUMBER(P21),D21="My fuels",VLOOKUP(D21,customTable,2,FALSE)=TRUE),ghostSpreadsheet_CO2!AO23),"-")</f>
        <v>-</v>
      </c>
      <c r="X21" s="440" t="str" cm="1">
        <f t="array" aca="1" ref="X21" ca="1">IFERROR(_xlfn.IFS(AND(ISNUMBER(Q21),D21&lt;&gt;"My fuels"),ROUND(((ghostSpreadsheet_CH4!I23)/(ghostSpreadsheet_CH4!E23)),INT(2-LOG(ghostSpreadsheet_CH4!I23)))&amp;" kg CH4/TJ",
AND(ISNUMBER(Q21),D21="My fuels"),ghostSpreadsheet_CH4!AD23),"-")</f>
        <v>-</v>
      </c>
      <c r="Y21" s="440" t="str" cm="1">
        <f t="array" aca="1" ref="Y21" ca="1">IFERROR(_xlfn.IFS(AND(ISNUMBER(R21),D21&lt;&gt;"My fuels"),ROUND(((ghostSpreadsheet_N2O!J23)/(ghostSpreadsheet_N2O!E23)),INT(2-LOG(ghostSpreadsheet_N2O!J23)))&amp;" kg/TJ",
AND(ISNUMBER(R21),D21="My fuels"),ghostSpreadsheet_N2O!AE23),"-")</f>
        <v>-</v>
      </c>
      <c r="Z21" s="440" t="str" cm="1">
        <f t="array" ref="Z21">IFERROR(_xlfn.IFS(AND(ISNUMBER(V21),D21&lt;&gt;"My fuels",D21="Biomass"),ROUND(ghostSpreadsheet_CO2!I23/(ghostSpreadsheet_CO2!F23),INT(5-LOG(ghostSpreadsheet_CO2!I23)))&amp;" kg CO2/TJ",
AND(ISNUMBER(V21),D21="My fuels",VLOOKUP(D21,customTable,2,FALSE)=Biomass),ghostSpreadsheet_CO2!AO23),"-")</f>
        <v>-</v>
      </c>
      <c r="AA21" s="494" t="str">
        <f>IF(ghostSpreadsheet_CH4!J23="","",ghostSpreadsheet_CO2!K23)</f>
        <v/>
      </c>
      <c r="AB21" s="446" t="str" cm="1">
        <f t="array" ref="AB21">_xlfn.IFNA(_xlfn.IFS(
AND(I21&lt;&gt;"Therm",I21&lt;&gt;"mmBtu",I21&lt;&gt;"TJ",I21&lt;&gt;"MJ",I21&lt;&gt;"GJ",I21&lt;&gt;"kWh",ISTEXT(I21),D21&lt;&gt;"My fuels"),
I21&amp;" to"&amp;" "&amp;"TJ based on fuel's density and heat content (or calorific value)",
AND(OR(I21="Therm",I21="mmBtu",I21="MJ",I21="GJ",I21="kWh"),D21&lt;&gt;"My fuels"),
I21&amp;" to"&amp;" "&amp;"TJ based on energy conversion",
(VLOOKUP(E21,customTable,7,FALSE)&lt;&gt;I21),I21&amp;" to"&amp;" "&amp;VLOOKUP(E21,customTable,7,FALSE)),"")</f>
        <v/>
      </c>
      <c r="AC21"/>
      <c r="AD21"/>
      <c r="AE21"/>
      <c r="AF21"/>
    </row>
    <row r="22" spans="2:32" s="132" customFormat="1" ht="32.25" customHeight="1" x14ac:dyDescent="0.25">
      <c r="B22" s="530"/>
      <c r="C22" s="407"/>
      <c r="D22" s="406"/>
      <c r="E22" s="408"/>
      <c r="F22" s="404" t="str">
        <f t="shared" si="0"/>
        <v/>
      </c>
      <c r="G22" s="404" t="str">
        <f t="shared" si="1"/>
        <v/>
      </c>
      <c r="H22" s="409"/>
      <c r="I22" s="406"/>
      <c r="J22" s="404" t="str">
        <f>IF(ISERROR(VLOOKUP(I22,unitStates,3,FALSE)), "", IF(VLOOKUP(I22,unitStates,3,FALSE)=0, IF(D22="My fuels", VLOOKUP('3. Calculator'!E22,customTable,16, FALSE),"HVList"), "notApplicable"))</f>
        <v/>
      </c>
      <c r="K22" s="404" t="b">
        <f t="shared" si="4"/>
        <v>1</v>
      </c>
      <c r="L22" s="406"/>
      <c r="M22" s="503" t="str">
        <f>IF(D22="My fuels","-",_xlfn.IFNA(IF(VLOOKUP(E22,'2. Settings'!$B$15:$C$47,2,FALSE)="","Please enter fuel density in Settings.",VLOOKUP(E22,'2. Settings'!$B$15:$C$47,2,FALSE)),""))</f>
        <v/>
      </c>
      <c r="N22" s="503" t="str">
        <f>IF(D22="My fuels","-",_xlfn.IFNA(IF(VLOOKUP(E22,'2. Settings'!$B$15:$D$47,3,FALSE)="","Please enter fuel density in Settings.",VLOOKUP(E22,'2. Settings'!$B$15:$D$47,3,FALSE)),""))</f>
        <v/>
      </c>
      <c r="O22" s="503" t="str">
        <f>_xlfn.IFNA(IF(AND(VLOOKUP(VLOOKUP(E22,'2. Settings'!$B$57:$Q$75,7,FALSE),General_listings!$C$323:$D$336,2,FALSE)=VLOOKUP(I22,General_listings!$C$323:$D$336,2,FALSE),
VLOOKUP(E22,'2. Settings'!$B$57:$Q$75,16,FALSE)=L22),"","!Please select appropriate fuel amount units cluster and/or heating value basis"),"")</f>
        <v/>
      </c>
      <c r="P22" s="410" t="str">
        <f>IF(ISERROR(IF(H22="", "", ghostSpreadsheet_CO2!AW24)), "", IF(H22="", "", ghostSpreadsheet_CO2!AW24))</f>
        <v/>
      </c>
      <c r="Q22" s="410" t="str">
        <f>IF(ISERROR(IF(H22="", "", IF(ghostSpreadsheet_CH4!AH24=0, "", ghostSpreadsheet_CH4!AH24))), "", IF(H22="", "", IF(ghostSpreadsheet_CH4!AH24=0, "", ghostSpreadsheet_CH4!AH24)))</f>
        <v/>
      </c>
      <c r="R22" s="435" t="str">
        <f>IF(ISERROR(IF(H22="","",IF(ghostSpreadsheet_N2O!AI24=0, "", ghostSpreadsheet_N2O!AI24))), "", IF(H22="","",IF(ghostSpreadsheet_N2O!AI24=0, "", ghostSpreadsheet_N2O!AI24)))</f>
        <v/>
      </c>
      <c r="S22" s="411">
        <f t="shared" si="2"/>
        <v>0</v>
      </c>
      <c r="T22" s="411">
        <f t="shared" si="6"/>
        <v>0</v>
      </c>
      <c r="U22" s="410" t="str">
        <f>IF(ISERROR((S22*(VLOOKUP('2. Settings'!$C$7,GWPTable,3,FALSE)))+(T22*(VLOOKUP('2. Settings'!$C$7,GWPTable,4,FALSE)) +P22)),"",P22+(S22*(VLOOKUP('2. Settings'!$C$7,GWPTable,3,FALSE)))+(T22*(VLOOKUP('2. Settings'!$C$7,GWPTable,4,FALSE))))</f>
        <v/>
      </c>
      <c r="V22" s="423" t="str">
        <f>IF(ISERROR(IF(H22="", "", IF(ghostSpreadsheet_CO2!AX24=0, "", ghostSpreadsheet_CO2!AX24))), "", IF(H22="", "", IF(ghostSpreadsheet_CO2!AX24=0, "", ghostSpreadsheet_CO2!AX24)))</f>
        <v/>
      </c>
      <c r="W22" s="496" t="str" cm="1">
        <f t="array" ref="W22">IFERROR(_xlfn.IFS(AND(ISNUMBER(P22),D22&lt;&gt;"My fuels",D22&lt;&gt;"Biomass"),ROUND((ghostSpreadsheet_CO2!I24)/(ghostSpreadsheet_CO2!F24),INT(5-LOG(ghostSpreadsheet_CO2!I24)))&amp;" kg CO2/TJ",
AND(ISNUMBER(P22),D22="My fuels",VLOOKUP(D22,customTable,2,FALSE)=TRUE),ghostSpreadsheet_CO2!AO24),"-")</f>
        <v>-</v>
      </c>
      <c r="X22" s="440" t="str" cm="1">
        <f t="array" aca="1" ref="X22" ca="1">IFERROR(_xlfn.IFS(AND(ISNUMBER(Q22),D22&lt;&gt;"My fuels"),ROUND(((ghostSpreadsheet_CH4!I24)/(ghostSpreadsheet_CH4!E24)),INT(2-LOG(ghostSpreadsheet_CH4!I24)))&amp;" kg CH4/TJ",
AND(ISNUMBER(Q22),D22="My fuels"),ghostSpreadsheet_CH4!AD24),"-")</f>
        <v>-</v>
      </c>
      <c r="Y22" s="440" t="str" cm="1">
        <f t="array" aca="1" ref="Y22" ca="1">IFERROR(_xlfn.IFS(AND(ISNUMBER(R22),D22&lt;&gt;"My fuels"),ROUND(((ghostSpreadsheet_N2O!J24)/(ghostSpreadsheet_N2O!E24)),INT(2-LOG(ghostSpreadsheet_N2O!J24)))&amp;" kg/TJ",
AND(ISNUMBER(R22),D22="My fuels"),ghostSpreadsheet_N2O!AE24),"-")</f>
        <v>-</v>
      </c>
      <c r="Z22" s="440" t="str" cm="1">
        <f t="array" ref="Z22">IFERROR(_xlfn.IFS(AND(ISNUMBER(V22),D22&lt;&gt;"My fuels",D22="Biomass"),ROUND(ghostSpreadsheet_CO2!I24/(ghostSpreadsheet_CO2!F24),INT(5-LOG(ghostSpreadsheet_CO2!I24)))&amp;" kg CO2/TJ",
AND(ISNUMBER(V22),D22="My fuels",VLOOKUP(D22,customTable,2,FALSE)=Biomass),ghostSpreadsheet_CO2!AO24),"-")</f>
        <v>-</v>
      </c>
      <c r="AA22" s="494" t="str">
        <f>IF(ghostSpreadsheet_CH4!J24="","",ghostSpreadsheet_CO2!K24)</f>
        <v/>
      </c>
      <c r="AB22" s="446" t="str" cm="1">
        <f t="array" ref="AB22">_xlfn.IFNA(_xlfn.IFS(
AND(I22&lt;&gt;"Therm",I22&lt;&gt;"mmBtu",I22&lt;&gt;"TJ",I22&lt;&gt;"MJ",I22&lt;&gt;"GJ",I22&lt;&gt;"kWh",ISTEXT(I22),D22&lt;&gt;"My fuels"),
I22&amp;" to"&amp;" "&amp;"TJ based on fuel's density and heat content (or calorific value)",
AND(OR(I22="Therm",I22="mmBtu",I22="MJ",I22="GJ",I22="kWh"),D22&lt;&gt;"My fuels"),
I22&amp;" to"&amp;" "&amp;"TJ based on energy conversion",
(VLOOKUP(E22,customTable,7,FALSE)&lt;&gt;I22),I22&amp;" to"&amp;" "&amp;VLOOKUP(E22,customTable,7,FALSE)),"")</f>
        <v/>
      </c>
      <c r="AC22"/>
      <c r="AD22"/>
      <c r="AE22"/>
      <c r="AF22"/>
    </row>
    <row r="23" spans="2:32" s="132" customFormat="1" ht="32.25" customHeight="1" x14ac:dyDescent="0.25">
      <c r="B23" s="530"/>
      <c r="C23" s="407"/>
      <c r="D23" s="406"/>
      <c r="E23" s="408"/>
      <c r="F23" s="404" t="str">
        <f t="shared" si="0"/>
        <v/>
      </c>
      <c r="G23" s="404" t="str">
        <f t="shared" si="1"/>
        <v/>
      </c>
      <c r="H23" s="409"/>
      <c r="I23" s="406"/>
      <c r="J23" s="404" t="str">
        <f>IF(ISERROR(VLOOKUP(I23,unitStates,3,FALSE)), "", IF(VLOOKUP(I23,unitStates,3,FALSE)=0, IF(D23="My fuels", VLOOKUP('3. Calculator'!E23,customTable,16, FALSE),"HVList"), "notApplicable"))</f>
        <v/>
      </c>
      <c r="K23" s="404" t="b">
        <f t="shared" si="4"/>
        <v>1</v>
      </c>
      <c r="L23" s="406"/>
      <c r="M23" s="503" t="str">
        <f>IF(D23="My fuels","-",_xlfn.IFNA(IF(VLOOKUP(E23,'2. Settings'!$B$15:$C$47,2,FALSE)="","Please enter fuel density in Settings.",VLOOKUP(E23,'2. Settings'!$B$15:$C$47,2,FALSE)),""))</f>
        <v/>
      </c>
      <c r="N23" s="503" t="str">
        <f>IF(D23="My fuels","-",_xlfn.IFNA(IF(VLOOKUP(E23,'2. Settings'!$B$15:$D$47,3,FALSE)="","Please enter fuel density in Settings.",VLOOKUP(E23,'2. Settings'!$B$15:$D$47,3,FALSE)),""))</f>
        <v/>
      </c>
      <c r="O23" s="503" t="str">
        <f>_xlfn.IFNA(IF(AND(VLOOKUP(VLOOKUP(E23,'2. Settings'!$B$57:$Q$75,7,FALSE),General_listings!$C$323:$D$336,2,FALSE)=VLOOKUP(I23,General_listings!$C$323:$D$336,2,FALSE),
VLOOKUP(E23,'2. Settings'!$B$57:$Q$75,16,FALSE)=L23),"","!Please select appropriate fuel amount units cluster and/or heating value basis"),"")</f>
        <v/>
      </c>
      <c r="P23" s="410" t="str">
        <f>IF(ISERROR(IF(H23="", "", ghostSpreadsheet_CO2!AW25)), "", IF(H23="", "", ghostSpreadsheet_CO2!AW25))</f>
        <v/>
      </c>
      <c r="Q23" s="410" t="str">
        <f>IF(ISERROR(IF(H23="", "", IF(ghostSpreadsheet_CH4!AH25=0, "", ghostSpreadsheet_CH4!AH25))), "", IF(H23="", "", IF(ghostSpreadsheet_CH4!AH25=0, "", ghostSpreadsheet_CH4!AH25)))</f>
        <v/>
      </c>
      <c r="R23" s="435" t="str">
        <f>IF(ISERROR(IF(H23="","",IF(ghostSpreadsheet_N2O!AI25=0, "", ghostSpreadsheet_N2O!AI25))), "", IF(H23="","",IF(ghostSpreadsheet_N2O!AI25=0, "", ghostSpreadsheet_N2O!AI25)))</f>
        <v/>
      </c>
      <c r="S23" s="411">
        <f t="shared" si="2"/>
        <v>0</v>
      </c>
      <c r="T23" s="411">
        <f t="shared" si="6"/>
        <v>0</v>
      </c>
      <c r="U23" s="410" t="str">
        <f>IF(ISERROR((S23*(VLOOKUP('2. Settings'!$C$7,GWPTable,3,FALSE)))+(T23*(VLOOKUP('2. Settings'!$C$7,GWPTable,4,FALSE)) +P23)),"",P23+(S23*(VLOOKUP('2. Settings'!$C$7,GWPTable,3,FALSE)))+(T23*(VLOOKUP('2. Settings'!$C$7,GWPTable,4,FALSE))))</f>
        <v/>
      </c>
      <c r="V23" s="423" t="str">
        <f>IF(ISERROR(IF(H23="", "", IF(ghostSpreadsheet_CO2!AX25=0, "", ghostSpreadsheet_CO2!AX25))), "", IF(H23="", "", IF(ghostSpreadsheet_CO2!AX25=0, "", ghostSpreadsheet_CO2!AX25)))</f>
        <v/>
      </c>
      <c r="W23" s="496" t="str" cm="1">
        <f t="array" ref="W23">IFERROR(_xlfn.IFS(AND(ISNUMBER(P23),D23&lt;&gt;"My fuels",D23&lt;&gt;"Biomass"),ROUND((ghostSpreadsheet_CO2!I25)/(ghostSpreadsheet_CO2!F25),INT(5-LOG(ghostSpreadsheet_CO2!I25)))&amp;" kg CO2/TJ",
AND(ISNUMBER(P23),D23="My fuels",VLOOKUP(D23,customTable,2,FALSE)=TRUE),ghostSpreadsheet_CO2!AO25),"-")</f>
        <v>-</v>
      </c>
      <c r="X23" s="440" t="str" cm="1">
        <f t="array" aca="1" ref="X23" ca="1">IFERROR(_xlfn.IFS(AND(ISNUMBER(Q23),D23&lt;&gt;"My fuels"),ROUND(((ghostSpreadsheet_CH4!I25)/(ghostSpreadsheet_CH4!E25)),INT(2-LOG(ghostSpreadsheet_CH4!I25)))&amp;" kg CH4/TJ",
AND(ISNUMBER(Q23),D23="My fuels"),ghostSpreadsheet_CH4!AD25),"-")</f>
        <v>-</v>
      </c>
      <c r="Y23" s="440" t="str" cm="1">
        <f t="array" aca="1" ref="Y23" ca="1">IFERROR(_xlfn.IFS(AND(ISNUMBER(R23),D23&lt;&gt;"My fuels"),ROUND(((ghostSpreadsheet_N2O!J25)/(ghostSpreadsheet_N2O!E25)),INT(2-LOG(ghostSpreadsheet_N2O!J25)))&amp;" kg/TJ",
AND(ISNUMBER(R23),D23="My fuels"),ghostSpreadsheet_N2O!AE25),"-")</f>
        <v>-</v>
      </c>
      <c r="Z23" s="440" t="str" cm="1">
        <f t="array" ref="Z23">IFERROR(_xlfn.IFS(AND(ISNUMBER(V23),D23&lt;&gt;"My fuels",D23="Biomass"),ROUND(ghostSpreadsheet_CO2!I25/(ghostSpreadsheet_CO2!F25),INT(5-LOG(ghostSpreadsheet_CO2!I25)))&amp;" kg CO2/TJ",
AND(ISNUMBER(V23),D23="My fuels",VLOOKUP(D23,customTable,2,FALSE)=Biomass),ghostSpreadsheet_CO2!AO25),"-")</f>
        <v>-</v>
      </c>
      <c r="AA23" s="494" t="str">
        <f>IF(ghostSpreadsheet_CH4!J25="","",ghostSpreadsheet_CO2!K25)</f>
        <v/>
      </c>
      <c r="AB23" s="446" t="str" cm="1">
        <f t="array" ref="AB23">_xlfn.IFNA(_xlfn.IFS(
AND(I23&lt;&gt;"Therm",I23&lt;&gt;"mmBtu",I23&lt;&gt;"TJ",I23&lt;&gt;"MJ",I23&lt;&gt;"GJ",I23&lt;&gt;"kWh",ISTEXT(I23),D23&lt;&gt;"My fuels"),
I23&amp;" to"&amp;" "&amp;"TJ based on fuel's density and heat content (or calorific value)",
AND(OR(I23="Therm",I23="mmBtu",I23="MJ",I23="GJ",I23="kWh"),D23&lt;&gt;"My fuels"),
I23&amp;" to"&amp;" "&amp;"TJ based on energy conversion",
(VLOOKUP(E23,customTable,7,FALSE)&lt;&gt;I23),I23&amp;" to"&amp;" "&amp;VLOOKUP(E23,customTable,7,FALSE)),"")</f>
        <v/>
      </c>
      <c r="AC23"/>
      <c r="AD23"/>
      <c r="AE23"/>
      <c r="AF23"/>
    </row>
    <row r="24" spans="2:32" s="132" customFormat="1" ht="32.25" customHeight="1" x14ac:dyDescent="0.25">
      <c r="B24" s="530"/>
      <c r="C24" s="407"/>
      <c r="D24" s="406"/>
      <c r="E24" s="408"/>
      <c r="F24" s="404" t="str">
        <f t="shared" si="0"/>
        <v/>
      </c>
      <c r="G24" s="404" t="str">
        <f t="shared" si="1"/>
        <v/>
      </c>
      <c r="H24" s="409"/>
      <c r="I24" s="406"/>
      <c r="J24" s="404" t="str">
        <f>IF(ISERROR(VLOOKUP(I24,unitStates,3,FALSE)), "", IF(VLOOKUP(I24,unitStates,3,FALSE)=0, IF(D24="My fuels", VLOOKUP('3. Calculator'!E24,customTable,16, FALSE),"HVList"), "notApplicable"))</f>
        <v/>
      </c>
      <c r="K24" s="404" t="b">
        <f t="shared" si="4"/>
        <v>1</v>
      </c>
      <c r="L24" s="406"/>
      <c r="M24" s="503" t="str">
        <f>IF(D24="My fuels","-",_xlfn.IFNA(IF(VLOOKUP(E24,'2. Settings'!$B$15:$C$47,2,FALSE)="","Please enter fuel density in Settings.",VLOOKUP(E24,'2. Settings'!$B$15:$C$47,2,FALSE)),""))</f>
        <v/>
      </c>
      <c r="N24" s="503" t="str">
        <f>IF(D24="My fuels","-",_xlfn.IFNA(IF(VLOOKUP(E24,'2. Settings'!$B$15:$D$47,3,FALSE)="","Please enter fuel density in Settings.",VLOOKUP(E24,'2. Settings'!$B$15:$D$47,3,FALSE)),""))</f>
        <v/>
      </c>
      <c r="O24" s="503" t="str">
        <f>_xlfn.IFNA(IF(AND(VLOOKUP(VLOOKUP(E24,'2. Settings'!$B$57:$Q$75,7,FALSE),General_listings!$C$323:$D$336,2,FALSE)=VLOOKUP(I24,General_listings!$C$323:$D$336,2,FALSE),
VLOOKUP(E24,'2. Settings'!$B$57:$Q$75,16,FALSE)=L24),"","!Please select appropriate fuel amount units cluster and/or heating value basis"),"")</f>
        <v/>
      </c>
      <c r="P24" s="410" t="str">
        <f>IF(ISERROR(IF(H24="", "", ghostSpreadsheet_CO2!AW26)), "", IF(H24="", "", ghostSpreadsheet_CO2!AW26))</f>
        <v/>
      </c>
      <c r="Q24" s="410" t="str">
        <f>IF(ISERROR(IF(H24="", "", IF(ghostSpreadsheet_CH4!AH26=0, "", ghostSpreadsheet_CH4!AH26))), "", IF(H24="", "", IF(ghostSpreadsheet_CH4!AH26=0, "", ghostSpreadsheet_CH4!AH26)))</f>
        <v/>
      </c>
      <c r="R24" s="435" t="str">
        <f>IF(ISERROR(IF(H24="","",IF(ghostSpreadsheet_N2O!AI26=0, "", ghostSpreadsheet_N2O!AI26))), "", IF(H24="","",IF(ghostSpreadsheet_N2O!AI26=0, "", ghostSpreadsheet_N2O!AI26)))</f>
        <v/>
      </c>
      <c r="S24" s="411">
        <f t="shared" si="2"/>
        <v>0</v>
      </c>
      <c r="T24" s="411">
        <f t="shared" si="6"/>
        <v>0</v>
      </c>
      <c r="U24" s="410" t="str">
        <f>IF(ISERROR((S24*(VLOOKUP('2. Settings'!$C$7,GWPTable,3,FALSE)))+(T24*(VLOOKUP('2. Settings'!$C$7,GWPTable,4,FALSE)) +P24)),"",P24+(S24*(VLOOKUP('2. Settings'!$C$7,GWPTable,3,FALSE)))+(T24*(VLOOKUP('2. Settings'!$C$7,GWPTable,4,FALSE))))</f>
        <v/>
      </c>
      <c r="V24" s="423" t="str">
        <f>IF(ISERROR(IF(H24="", "", IF(ghostSpreadsheet_CO2!AX26=0, "", ghostSpreadsheet_CO2!AX26))), "", IF(H24="", "", IF(ghostSpreadsheet_CO2!AX26=0, "", ghostSpreadsheet_CO2!AX26)))</f>
        <v/>
      </c>
      <c r="W24" s="496" t="str" cm="1">
        <f t="array" ref="W24">IFERROR(_xlfn.IFS(AND(ISNUMBER(P24),D24&lt;&gt;"My fuels",D24&lt;&gt;"Biomass"),ROUND((ghostSpreadsheet_CO2!I26)/(ghostSpreadsheet_CO2!F26),INT(5-LOG(ghostSpreadsheet_CO2!I26)))&amp;" kg CO2/TJ",
AND(ISNUMBER(P24),D24="My fuels",VLOOKUP(D24,customTable,2,FALSE)=TRUE),ghostSpreadsheet_CO2!AO26),"-")</f>
        <v>-</v>
      </c>
      <c r="X24" s="440" t="str" cm="1">
        <f t="array" aca="1" ref="X24" ca="1">IFERROR(_xlfn.IFS(AND(ISNUMBER(Q24),D24&lt;&gt;"My fuels"),ROUND(((ghostSpreadsheet_CH4!I26)/(ghostSpreadsheet_CH4!E26)),INT(2-LOG(ghostSpreadsheet_CH4!I26)))&amp;" kg CH4/TJ",
AND(ISNUMBER(Q24),D24="My fuels"),ghostSpreadsheet_CH4!AD26),"-")</f>
        <v>-</v>
      </c>
      <c r="Y24" s="440" t="str" cm="1">
        <f t="array" aca="1" ref="Y24" ca="1">IFERROR(_xlfn.IFS(AND(ISNUMBER(R24),D24&lt;&gt;"My fuels"),ROUND(((ghostSpreadsheet_N2O!J26)/(ghostSpreadsheet_N2O!E26)),INT(2-LOG(ghostSpreadsheet_N2O!J26)))&amp;" kg/TJ",
AND(ISNUMBER(R24),D24="My fuels"),ghostSpreadsheet_N2O!AE26),"-")</f>
        <v>-</v>
      </c>
      <c r="Z24" s="440" t="str" cm="1">
        <f t="array" ref="Z24">IFERROR(_xlfn.IFS(AND(ISNUMBER(V24),D24&lt;&gt;"My fuels",D24="Biomass"),ROUND(ghostSpreadsheet_CO2!I26/(ghostSpreadsheet_CO2!F26),INT(5-LOG(ghostSpreadsheet_CO2!I26)))&amp;" kg CO2/TJ",
AND(ISNUMBER(V24),D24="My fuels",VLOOKUP(D24,customTable,2,FALSE)=Biomass),ghostSpreadsheet_CO2!AO26),"-")</f>
        <v>-</v>
      </c>
      <c r="AA24" s="494" t="str">
        <f>IF(ghostSpreadsheet_CH4!J26="","",ghostSpreadsheet_CO2!K26)</f>
        <v/>
      </c>
      <c r="AB24" s="446" t="str" cm="1">
        <f t="array" ref="AB24">_xlfn.IFNA(_xlfn.IFS(
AND(I24&lt;&gt;"Therm",I24&lt;&gt;"mmBtu",I24&lt;&gt;"TJ",I24&lt;&gt;"MJ",I24&lt;&gt;"GJ",I24&lt;&gt;"kWh",ISTEXT(I24),D24&lt;&gt;"My fuels"),
I24&amp;" to"&amp;" "&amp;"TJ based on fuel's density and heat content (or calorific value)",
AND(OR(I24="Therm",I24="mmBtu",I24="MJ",I24="GJ",I24="kWh"),D24&lt;&gt;"My fuels"),
I24&amp;" to"&amp;" "&amp;"TJ based on energy conversion",
(VLOOKUP(E24,customTable,7,FALSE)&lt;&gt;I24),I24&amp;" to"&amp;" "&amp;VLOOKUP(E24,customTable,7,FALSE)),"")</f>
        <v/>
      </c>
      <c r="AC24"/>
      <c r="AD24"/>
      <c r="AE24"/>
      <c r="AF24"/>
    </row>
    <row r="25" spans="2:32" s="132" customFormat="1" ht="32.25" customHeight="1" x14ac:dyDescent="0.25">
      <c r="B25" s="530"/>
      <c r="C25" s="407"/>
      <c r="D25" s="406"/>
      <c r="E25" s="408"/>
      <c r="F25" s="404" t="str">
        <f t="shared" si="0"/>
        <v/>
      </c>
      <c r="G25" s="404" t="str">
        <f t="shared" si="1"/>
        <v/>
      </c>
      <c r="H25" s="409"/>
      <c r="I25" s="406"/>
      <c r="J25" s="404" t="str">
        <f>IF(ISERROR(VLOOKUP(I25,unitStates,3,FALSE)), "", IF(VLOOKUP(I25,unitStates,3,FALSE)=0, IF(D25="My fuels", VLOOKUP('3. Calculator'!E25,customTable,16, FALSE),"HVList"), "notApplicable"))</f>
        <v/>
      </c>
      <c r="K25" s="404" t="b">
        <f t="shared" si="4"/>
        <v>1</v>
      </c>
      <c r="L25" s="406"/>
      <c r="M25" s="503" t="str">
        <f>IF(D25="My fuels","-",_xlfn.IFNA(IF(VLOOKUP(E25,'2. Settings'!$B$15:$C$47,2,FALSE)="","Please enter fuel density in Settings.",VLOOKUP(E25,'2. Settings'!$B$15:$C$47,2,FALSE)),""))</f>
        <v/>
      </c>
      <c r="N25" s="503" t="str">
        <f>IF(D25="My fuels","-",_xlfn.IFNA(IF(VLOOKUP(E25,'2. Settings'!$B$15:$D$47,3,FALSE)="","Please enter fuel density in Settings.",VLOOKUP(E25,'2. Settings'!$B$15:$D$47,3,FALSE)),""))</f>
        <v/>
      </c>
      <c r="O25" s="503" t="str">
        <f>_xlfn.IFNA(IF(AND(VLOOKUP(VLOOKUP(E25,'2. Settings'!$B$57:$Q$75,7,FALSE),General_listings!$C$323:$D$336,2,FALSE)=VLOOKUP(I25,General_listings!$C$323:$D$336,2,FALSE),
VLOOKUP(E25,'2. Settings'!$B$57:$Q$75,16,FALSE)=L25),"","!Please select appropriate fuel amount units cluster and/or heating value basis"),"")</f>
        <v/>
      </c>
      <c r="P25" s="410" t="str">
        <f>IF(ISERROR(IF(H25="", "", ghostSpreadsheet_CO2!AW27)), "", IF(H25="", "", ghostSpreadsheet_CO2!AW27))</f>
        <v/>
      </c>
      <c r="Q25" s="410" t="str">
        <f>IF(ISERROR(IF(H25="", "", IF(ghostSpreadsheet_CH4!AH27=0, "", ghostSpreadsheet_CH4!AH27))), "", IF(H25="", "", IF(ghostSpreadsheet_CH4!AH27=0, "", ghostSpreadsheet_CH4!AH27)))</f>
        <v/>
      </c>
      <c r="R25" s="435" t="str">
        <f>IF(ISERROR(IF(H25="","",IF(ghostSpreadsheet_N2O!AI27=0, "", ghostSpreadsheet_N2O!AI27))), "", IF(H25="","",IF(ghostSpreadsheet_N2O!AI27=0, "", ghostSpreadsheet_N2O!AI27)))</f>
        <v/>
      </c>
      <c r="S25" s="411">
        <f t="shared" si="2"/>
        <v>0</v>
      </c>
      <c r="T25" s="411">
        <f t="shared" si="6"/>
        <v>0</v>
      </c>
      <c r="U25" s="410" t="str">
        <f>IF(ISERROR((S25*(VLOOKUP('2. Settings'!$C$7,GWPTable,3,FALSE)))+(T25*(VLOOKUP('2. Settings'!$C$7,GWPTable,4,FALSE)) +P25)),"",P25+(S25*(VLOOKUP('2. Settings'!$C$7,GWPTable,3,FALSE)))+(T25*(VLOOKUP('2. Settings'!$C$7,GWPTable,4,FALSE))))</f>
        <v/>
      </c>
      <c r="V25" s="423" t="str">
        <f>IF(ISERROR(IF(H25="", "", IF(ghostSpreadsheet_CO2!AX27=0, "", ghostSpreadsheet_CO2!AX27))), "", IF(H25="", "", IF(ghostSpreadsheet_CO2!AX27=0, "", ghostSpreadsheet_CO2!AX27)))</f>
        <v/>
      </c>
      <c r="W25" s="496" t="str" cm="1">
        <f t="array" ref="W25">IFERROR(_xlfn.IFS(AND(ISNUMBER(P25),D25&lt;&gt;"My fuels",D25&lt;&gt;"Biomass"),ROUND((ghostSpreadsheet_CO2!I27)/(ghostSpreadsheet_CO2!F27),INT(5-LOG(ghostSpreadsheet_CO2!I27)))&amp;" kg CO2/TJ",
AND(ISNUMBER(P25),D25="My fuels",VLOOKUP(D25,customTable,2,FALSE)=TRUE),ghostSpreadsheet_CO2!AO27),"-")</f>
        <v>-</v>
      </c>
      <c r="X25" s="440" t="str" cm="1">
        <f t="array" aca="1" ref="X25" ca="1">IFERROR(_xlfn.IFS(AND(ISNUMBER(Q25),D25&lt;&gt;"My fuels"),ROUND(((ghostSpreadsheet_CH4!I27)/(ghostSpreadsheet_CH4!E27)),INT(2-LOG(ghostSpreadsheet_CH4!I27)))&amp;" kg CH4/TJ",
AND(ISNUMBER(Q25),D25="My fuels"),ghostSpreadsheet_CH4!AD27),"-")</f>
        <v>-</v>
      </c>
      <c r="Y25" s="440" t="str" cm="1">
        <f t="array" aca="1" ref="Y25" ca="1">IFERROR(_xlfn.IFS(AND(ISNUMBER(R25),D25&lt;&gt;"My fuels"),ROUND(((ghostSpreadsheet_N2O!J27)/(ghostSpreadsheet_N2O!E27)),INT(2-LOG(ghostSpreadsheet_N2O!J27)))&amp;" kg/TJ",
AND(ISNUMBER(R25),D25="My fuels"),ghostSpreadsheet_N2O!AE27),"-")</f>
        <v>-</v>
      </c>
      <c r="Z25" s="440" t="str" cm="1">
        <f t="array" ref="Z25">IFERROR(_xlfn.IFS(AND(ISNUMBER(V25),D25&lt;&gt;"My fuels",D25="Biomass"),ROUND(ghostSpreadsheet_CO2!I27/(ghostSpreadsheet_CO2!F27),INT(5-LOG(ghostSpreadsheet_CO2!I27)))&amp;" kg CO2/TJ",
AND(ISNUMBER(V25),D25="My fuels",VLOOKUP(D25,customTable,2,FALSE)=Biomass),ghostSpreadsheet_CO2!AO27),"-")</f>
        <v>-</v>
      </c>
      <c r="AA25" s="494" t="str">
        <f>IF(ghostSpreadsheet_CH4!J27="","",ghostSpreadsheet_CO2!K27)</f>
        <v/>
      </c>
      <c r="AB25" s="446" t="str" cm="1">
        <f t="array" ref="AB25">_xlfn.IFNA(_xlfn.IFS(
AND(I25&lt;&gt;"Therm",I25&lt;&gt;"mmBtu",I25&lt;&gt;"TJ",I25&lt;&gt;"MJ",I25&lt;&gt;"GJ",I25&lt;&gt;"kWh",ISTEXT(I25),D25&lt;&gt;"My fuels"),
I25&amp;" to"&amp;" "&amp;"TJ based on fuel's density and heat content (or calorific value)",
AND(OR(I25="Therm",I25="mmBtu",I25="MJ",I25="GJ",I25="kWh"),D25&lt;&gt;"My fuels"),
I25&amp;" to"&amp;" "&amp;"TJ based on energy conversion",
(VLOOKUP(E25,customTable,7,FALSE)&lt;&gt;I25),I25&amp;" to"&amp;" "&amp;VLOOKUP(E25,customTable,7,FALSE)),"")</f>
        <v/>
      </c>
      <c r="AC25"/>
      <c r="AD25"/>
      <c r="AE25"/>
      <c r="AF25"/>
    </row>
    <row r="26" spans="2:32" s="132" customFormat="1" ht="32.25" customHeight="1" x14ac:dyDescent="0.25">
      <c r="B26" s="530"/>
      <c r="C26" s="407"/>
      <c r="D26" s="406"/>
      <c r="E26" s="408"/>
      <c r="F26" s="404" t="str">
        <f t="shared" si="0"/>
        <v/>
      </c>
      <c r="G26" s="404" t="str">
        <f t="shared" si="1"/>
        <v/>
      </c>
      <c r="H26" s="409"/>
      <c r="I26" s="406"/>
      <c r="J26" s="404" t="str">
        <f>IF(ISERROR(VLOOKUP(I26,unitStates,3,FALSE)), "", IF(VLOOKUP(I26,unitStates,3,FALSE)=0, IF(D26="My fuels", VLOOKUP('3. Calculator'!E26,customTable,16, FALSE),"HVList"), "notApplicable"))</f>
        <v/>
      </c>
      <c r="K26" s="404" t="b">
        <f t="shared" si="4"/>
        <v>1</v>
      </c>
      <c r="L26" s="406"/>
      <c r="M26" s="503" t="str">
        <f>IF(D26="My fuels","-",_xlfn.IFNA(IF(VLOOKUP(E26,'2. Settings'!$B$15:$C$47,2,FALSE)="","Please enter fuel density in Settings.",VLOOKUP(E26,'2. Settings'!$B$15:$C$47,2,FALSE)),""))</f>
        <v/>
      </c>
      <c r="N26" s="503" t="str">
        <f>IF(D26="My fuels","-",_xlfn.IFNA(IF(VLOOKUP(E26,'2. Settings'!$B$15:$D$47,3,FALSE)="","Please enter fuel density in Settings.",VLOOKUP(E26,'2. Settings'!$B$15:$D$47,3,FALSE)),""))</f>
        <v/>
      </c>
      <c r="O26" s="503" t="str">
        <f>_xlfn.IFNA(IF(AND(VLOOKUP(VLOOKUP(E26,'2. Settings'!$B$57:$Q$75,7,FALSE),General_listings!$C$323:$D$336,2,FALSE)=VLOOKUP(I26,General_listings!$C$323:$D$336,2,FALSE),
VLOOKUP(E26,'2. Settings'!$B$57:$Q$75,16,FALSE)=L26),"","!Please select appropriate fuel amount units cluster and/or heating value basis"),"")</f>
        <v/>
      </c>
      <c r="P26" s="410" t="str">
        <f>IF(ISERROR(IF(H26="", "", ghostSpreadsheet_CO2!AW28)), "", IF(H26="", "", ghostSpreadsheet_CO2!AW28))</f>
        <v/>
      </c>
      <c r="Q26" s="410" t="str">
        <f>IF(ISERROR(IF(H26="", "", IF(ghostSpreadsheet_CH4!AH28=0, "", ghostSpreadsheet_CH4!AH28))), "", IF(H26="", "", IF(ghostSpreadsheet_CH4!AH28=0, "", ghostSpreadsheet_CH4!AH28)))</f>
        <v/>
      </c>
      <c r="R26" s="435" t="str">
        <f>IF(ISERROR(IF(H26="","",IF(ghostSpreadsheet_N2O!AI28=0, "", ghostSpreadsheet_N2O!AI28))), "", IF(H26="","",IF(ghostSpreadsheet_N2O!AI28=0, "", ghostSpreadsheet_N2O!AI28)))</f>
        <v/>
      </c>
      <c r="S26" s="411">
        <f t="shared" ref="S26:S32" si="7">IF(Q26="", 0, Q26)</f>
        <v>0</v>
      </c>
      <c r="T26" s="411">
        <f t="shared" ref="T26:T32" si="8">IF(R26="", 0, R26)</f>
        <v>0</v>
      </c>
      <c r="U26" s="410" t="str">
        <f>IF(ISERROR((S26*(VLOOKUP('2. Settings'!$C$7,GWPTable,3,FALSE)))+(T26*(VLOOKUP('2. Settings'!$C$7,GWPTable,4,FALSE)) +P26)),"",P26+(S26*(VLOOKUP('2. Settings'!$C$7,GWPTable,3,FALSE)))+(T26*(VLOOKUP('2. Settings'!$C$7,GWPTable,4,FALSE))))</f>
        <v/>
      </c>
      <c r="V26" s="423" t="str">
        <f>IF(ISERROR(IF(H26="", "", IF(ghostSpreadsheet_CO2!AX28=0, "", ghostSpreadsheet_CO2!AX28))), "", IF(H26="", "", IF(ghostSpreadsheet_CO2!AX28=0, "", ghostSpreadsheet_CO2!AX28)))</f>
        <v/>
      </c>
      <c r="W26" s="496" t="str" cm="1">
        <f t="array" ref="W26">IFERROR(_xlfn.IFS(AND(ISNUMBER(P26),D26&lt;&gt;"My fuels",D26&lt;&gt;"Biomass"),ROUND((ghostSpreadsheet_CO2!I28)/(ghostSpreadsheet_CO2!F28),INT(5-LOG(ghostSpreadsheet_CO2!I28)))&amp;" kg CO2/TJ",
AND(ISNUMBER(P26),D26="My fuels",VLOOKUP(D26,customTable,2,FALSE)=TRUE),ghostSpreadsheet_CO2!AO28),"-")</f>
        <v>-</v>
      </c>
      <c r="X26" s="440" t="str" cm="1">
        <f t="array" aca="1" ref="X26" ca="1">IFERROR(_xlfn.IFS(AND(ISNUMBER(Q26),D26&lt;&gt;"My fuels"),ROUND(((ghostSpreadsheet_CH4!I28)/(ghostSpreadsheet_CH4!E28)),INT(2-LOG(ghostSpreadsheet_CH4!I28)))&amp;" kg CH4/TJ",
AND(ISNUMBER(Q26),D26="My fuels"),ghostSpreadsheet_CH4!AD28),"-")</f>
        <v>-</v>
      </c>
      <c r="Y26" s="440" t="str" cm="1">
        <f t="array" aca="1" ref="Y26" ca="1">IFERROR(_xlfn.IFS(AND(ISNUMBER(R26),D26&lt;&gt;"My fuels"),ROUND(((ghostSpreadsheet_N2O!J28)/(ghostSpreadsheet_N2O!E28)),INT(2-LOG(ghostSpreadsheet_N2O!J28)))&amp;" kg/TJ",
AND(ISNUMBER(R26),D26="My fuels"),ghostSpreadsheet_N2O!AE28),"-")</f>
        <v>-</v>
      </c>
      <c r="Z26" s="440" t="str" cm="1">
        <f t="array" ref="Z26">IFERROR(_xlfn.IFS(AND(ISNUMBER(V26),D26&lt;&gt;"My fuels",D26="Biomass"),ROUND(ghostSpreadsheet_CO2!I28/(ghostSpreadsheet_CO2!F28),INT(5-LOG(ghostSpreadsheet_CO2!I28)))&amp;" kg CO2/TJ",
AND(ISNUMBER(V26),D26="My fuels",VLOOKUP(D26,customTable,2,FALSE)=Biomass),ghostSpreadsheet_CO2!AO28),"-")</f>
        <v>-</v>
      </c>
      <c r="AA26" s="494" t="str">
        <f>IF(ghostSpreadsheet_CH4!J28="","",ghostSpreadsheet_CO2!K28)</f>
        <v/>
      </c>
      <c r="AB26" s="446" t="str" cm="1">
        <f t="array" ref="AB26">_xlfn.IFNA(_xlfn.IFS(
AND(I26&lt;&gt;"Therm",I26&lt;&gt;"mmBtu",I26&lt;&gt;"TJ",I26&lt;&gt;"MJ",I26&lt;&gt;"GJ",I26&lt;&gt;"kWh",ISTEXT(I26),D26&lt;&gt;"My fuels"),
I26&amp;" to"&amp;" "&amp;"TJ based on fuel's density and heat content (or calorific value)",
AND(OR(I26="Therm",I26="mmBtu",I26="MJ",I26="GJ",I26="kWh"),D26&lt;&gt;"My fuels"),
I26&amp;" to"&amp;" "&amp;"TJ based on energy conversion",
(VLOOKUP(E26,customTable,7,FALSE)&lt;&gt;I26),I26&amp;" to"&amp;" "&amp;VLOOKUP(E26,customTable,7,FALSE)),"")</f>
        <v/>
      </c>
      <c r="AC26"/>
      <c r="AD26"/>
      <c r="AE26"/>
      <c r="AF26"/>
    </row>
    <row r="27" spans="2:32" s="132" customFormat="1" ht="32.25" customHeight="1" x14ac:dyDescent="0.25">
      <c r="B27" s="530"/>
      <c r="C27" s="407"/>
      <c r="D27" s="406"/>
      <c r="E27" s="408"/>
      <c r="F27" s="404" t="str">
        <f t="shared" si="0"/>
        <v/>
      </c>
      <c r="G27" s="404" t="str">
        <f t="shared" si="1"/>
        <v/>
      </c>
      <c r="H27" s="409"/>
      <c r="I27" s="406"/>
      <c r="J27" s="404" t="str">
        <f>IF(ISERROR(VLOOKUP(I27,unitStates,3,FALSE)), "", IF(VLOOKUP(I27,unitStates,3,FALSE)=0, IF(D27="My fuels", VLOOKUP('3. Calculator'!E27,customTable,16, FALSE),"HVList"), "notApplicable"))</f>
        <v/>
      </c>
      <c r="K27" s="404" t="b">
        <f t="shared" si="4"/>
        <v>1</v>
      </c>
      <c r="L27" s="406"/>
      <c r="M27" s="503" t="str">
        <f>IF(D27="My fuels","-",_xlfn.IFNA(IF(VLOOKUP(E27,'2. Settings'!$B$15:$C$47,2,FALSE)="","Please enter fuel density in Settings.",VLOOKUP(E27,'2. Settings'!$B$15:$C$47,2,FALSE)),""))</f>
        <v/>
      </c>
      <c r="N27" s="503" t="str">
        <f>IF(D27="My fuels","-",_xlfn.IFNA(IF(VLOOKUP(E27,'2. Settings'!$B$15:$D$47,3,FALSE)="","Please enter fuel density in Settings.",VLOOKUP(E27,'2. Settings'!$B$15:$D$47,3,FALSE)),""))</f>
        <v/>
      </c>
      <c r="O27" s="503" t="str">
        <f>_xlfn.IFNA(IF(AND(VLOOKUP(VLOOKUP(E27,'2. Settings'!$B$57:$Q$75,7,FALSE),General_listings!$C$323:$D$336,2,FALSE)=VLOOKUP(I27,General_listings!$C$323:$D$336,2,FALSE),
VLOOKUP(E27,'2. Settings'!$B$57:$Q$75,16,FALSE)=L27),"","!Please select appropriate fuel amount units cluster and/or heating value basis"),"")</f>
        <v/>
      </c>
      <c r="P27" s="410" t="str">
        <f>IF(ISERROR(IF(H27="", "", ghostSpreadsheet_CO2!AW29)), "", IF(H27="", "", ghostSpreadsheet_CO2!AW29))</f>
        <v/>
      </c>
      <c r="Q27" s="410" t="str">
        <f>IF(ISERROR(IF(H27="", "", IF(ghostSpreadsheet_CH4!AH29=0, "", ghostSpreadsheet_CH4!AH29))), "", IF(H27="", "", IF(ghostSpreadsheet_CH4!AH29=0, "", ghostSpreadsheet_CH4!AH29)))</f>
        <v/>
      </c>
      <c r="R27" s="435" t="str">
        <f>IF(ISERROR(IF(H27="","",IF(ghostSpreadsheet_N2O!AI29=0, "", ghostSpreadsheet_N2O!AI29))), "", IF(H27="","",IF(ghostSpreadsheet_N2O!AI29=0, "", ghostSpreadsheet_N2O!AI29)))</f>
        <v/>
      </c>
      <c r="S27" s="411">
        <f t="shared" si="7"/>
        <v>0</v>
      </c>
      <c r="T27" s="411">
        <f t="shared" si="8"/>
        <v>0</v>
      </c>
      <c r="U27" s="410" t="str">
        <f>IF(ISERROR((S27*(VLOOKUP('2. Settings'!$C$7,GWPTable,3,FALSE)))+(T27*(VLOOKUP('2. Settings'!$C$7,GWPTable,4,FALSE)) +P27)),"",P27+(S27*(VLOOKUP('2. Settings'!$C$7,GWPTable,3,FALSE)))+(T27*(VLOOKUP('2. Settings'!$C$7,GWPTable,4,FALSE))))</f>
        <v/>
      </c>
      <c r="V27" s="423" t="str">
        <f>IF(ISERROR(IF(H27="", "", IF(ghostSpreadsheet_CO2!AX29=0, "", ghostSpreadsheet_CO2!AX29))), "", IF(H27="", "", IF(ghostSpreadsheet_CO2!AX29=0, "", ghostSpreadsheet_CO2!AX29)))</f>
        <v/>
      </c>
      <c r="W27" s="496" t="str" cm="1">
        <f t="array" ref="W27">IFERROR(_xlfn.IFS(AND(ISNUMBER(P27),D27&lt;&gt;"My fuels",D27&lt;&gt;"Biomass"),ROUND((ghostSpreadsheet_CO2!I29)/(ghostSpreadsheet_CO2!F29),INT(5-LOG(ghostSpreadsheet_CO2!I29)))&amp;" kg CO2/TJ",
AND(ISNUMBER(P27),D27="My fuels",VLOOKUP(D27,customTable,2,FALSE)=TRUE),ghostSpreadsheet_CO2!AO29),"-")</f>
        <v>-</v>
      </c>
      <c r="X27" s="440" t="str" cm="1">
        <f t="array" aca="1" ref="X27" ca="1">IFERROR(_xlfn.IFS(AND(ISNUMBER(Q27),D27&lt;&gt;"My fuels"),ROUND(((ghostSpreadsheet_CH4!I29)/(ghostSpreadsheet_CH4!E29)),INT(2-LOG(ghostSpreadsheet_CH4!I29)))&amp;" kg CH4/TJ",
AND(ISNUMBER(Q27),D27="My fuels"),ghostSpreadsheet_CH4!AD29),"-")</f>
        <v>-</v>
      </c>
      <c r="Y27" s="440" t="str" cm="1">
        <f t="array" aca="1" ref="Y27" ca="1">IFERROR(_xlfn.IFS(AND(ISNUMBER(R27),D27&lt;&gt;"My fuels"),ROUND(((ghostSpreadsheet_N2O!J29)/(ghostSpreadsheet_N2O!E29)),INT(2-LOG(ghostSpreadsheet_N2O!J29)))&amp;" kg/TJ",
AND(ISNUMBER(R27),D27="My fuels"),ghostSpreadsheet_N2O!AE29),"-")</f>
        <v>-</v>
      </c>
      <c r="Z27" s="440" t="str" cm="1">
        <f t="array" ref="Z27">IFERROR(_xlfn.IFS(AND(ISNUMBER(V27),D27&lt;&gt;"My fuels",D27="Biomass"),ROUND(ghostSpreadsheet_CO2!I29/(ghostSpreadsheet_CO2!F29),INT(5-LOG(ghostSpreadsheet_CO2!I29)))&amp;" kg CO2/TJ",
AND(ISNUMBER(V27),D27="My fuels",VLOOKUP(D27,customTable,2,FALSE)=Biomass),ghostSpreadsheet_CO2!AO29),"-")</f>
        <v>-</v>
      </c>
      <c r="AA27" s="494" t="str">
        <f>IF(ghostSpreadsheet_CH4!J29="","",ghostSpreadsheet_CO2!K29)</f>
        <v/>
      </c>
      <c r="AB27" s="446" t="str" cm="1">
        <f t="array" ref="AB27">_xlfn.IFNA(_xlfn.IFS(
AND(I27&lt;&gt;"Therm",I27&lt;&gt;"mmBtu",I27&lt;&gt;"TJ",I27&lt;&gt;"MJ",I27&lt;&gt;"GJ",I27&lt;&gt;"kWh",ISTEXT(I27),D27&lt;&gt;"My fuels"),
I27&amp;" to"&amp;" "&amp;"TJ based on fuel's density and heat content (or calorific value)",
AND(OR(I27="Therm",I27="mmBtu",I27="MJ",I27="GJ",I27="kWh"),D27&lt;&gt;"My fuels"),
I27&amp;" to"&amp;" "&amp;"TJ based on energy conversion",
(VLOOKUP(E27,customTable,7,FALSE)&lt;&gt;I27),I27&amp;" to"&amp;" "&amp;VLOOKUP(E27,customTable,7,FALSE)),"")</f>
        <v/>
      </c>
      <c r="AC27"/>
      <c r="AD27"/>
      <c r="AE27"/>
      <c r="AF27"/>
    </row>
    <row r="28" spans="2:32" s="132" customFormat="1" ht="32.25" customHeight="1" x14ac:dyDescent="0.25">
      <c r="B28" s="530"/>
      <c r="C28" s="407"/>
      <c r="D28" s="406"/>
      <c r="E28" s="408"/>
      <c r="F28" s="404" t="str">
        <f t="shared" si="0"/>
        <v/>
      </c>
      <c r="G28" s="404" t="str">
        <f t="shared" si="1"/>
        <v/>
      </c>
      <c r="H28" s="409"/>
      <c r="I28" s="406"/>
      <c r="J28" s="404" t="str">
        <f>IF(ISERROR(VLOOKUP(I28,unitStates,3,FALSE)), "", IF(VLOOKUP(I28,unitStates,3,FALSE)=0, IF(D28="My fuels", VLOOKUP('3. Calculator'!E28,customTable,16, FALSE),"HVList"), "notApplicable"))</f>
        <v/>
      </c>
      <c r="K28" s="404" t="b">
        <f t="shared" si="4"/>
        <v>1</v>
      </c>
      <c r="L28" s="406"/>
      <c r="M28" s="503" t="str">
        <f>IF(D28="My fuels","-",_xlfn.IFNA(IF(VLOOKUP(E28,'2. Settings'!$B$15:$C$47,2,FALSE)="","Please enter fuel density in Settings.",VLOOKUP(E28,'2. Settings'!$B$15:$C$47,2,FALSE)),""))</f>
        <v/>
      </c>
      <c r="N28" s="503" t="str">
        <f>IF(D28="My fuels","-",_xlfn.IFNA(IF(VLOOKUP(E28,'2. Settings'!$B$15:$D$47,3,FALSE)="","Please enter fuel density in Settings.",VLOOKUP(E28,'2. Settings'!$B$15:$D$47,3,FALSE)),""))</f>
        <v/>
      </c>
      <c r="O28" s="503" t="str">
        <f>_xlfn.IFNA(IF(AND(VLOOKUP(VLOOKUP(E28,'2. Settings'!$B$57:$Q$75,7,FALSE),General_listings!$C$323:$D$336,2,FALSE)=VLOOKUP(I28,General_listings!$C$323:$D$336,2,FALSE),
VLOOKUP(E28,'2. Settings'!$B$57:$Q$75,16,FALSE)=L28),"","!Please select appropriate fuel amount units cluster and/or heating value basis"),"")</f>
        <v/>
      </c>
      <c r="P28" s="410" t="str">
        <f>IF(ISERROR(IF(H28="", "", ghostSpreadsheet_CO2!AW30)), "", IF(H28="", "", ghostSpreadsheet_CO2!AW30))</f>
        <v/>
      </c>
      <c r="Q28" s="410" t="str">
        <f>IF(ISERROR(IF(H28="", "", IF(ghostSpreadsheet_CH4!AH30=0, "", ghostSpreadsheet_CH4!AH30))), "", IF(H28="", "", IF(ghostSpreadsheet_CH4!AH30=0, "", ghostSpreadsheet_CH4!AH30)))</f>
        <v/>
      </c>
      <c r="R28" s="435" t="str">
        <f>IF(ISERROR(IF(H28="","",IF(ghostSpreadsheet_N2O!AI30=0, "", ghostSpreadsheet_N2O!AI30))), "", IF(H28="","",IF(ghostSpreadsheet_N2O!AI30=0, "", ghostSpreadsheet_N2O!AI30)))</f>
        <v/>
      </c>
      <c r="S28" s="411">
        <f t="shared" si="7"/>
        <v>0</v>
      </c>
      <c r="T28" s="411">
        <f t="shared" si="8"/>
        <v>0</v>
      </c>
      <c r="U28" s="410" t="str">
        <f>IF(ISERROR((S28*(VLOOKUP('2. Settings'!$C$7,GWPTable,3,FALSE)))+(T28*(VLOOKUP('2. Settings'!$C$7,GWPTable,4,FALSE)) +P28)),"",P28+(S28*(VLOOKUP('2. Settings'!$C$7,GWPTable,3,FALSE)))+(T28*(VLOOKUP('2. Settings'!$C$7,GWPTable,4,FALSE))))</f>
        <v/>
      </c>
      <c r="V28" s="423" t="str">
        <f>IF(ISERROR(IF(H28="", "", IF(ghostSpreadsheet_CO2!AX30=0, "", ghostSpreadsheet_CO2!AX30))), "", IF(H28="", "", IF(ghostSpreadsheet_CO2!AX30=0, "", ghostSpreadsheet_CO2!AX30)))</f>
        <v/>
      </c>
      <c r="W28" s="496" t="str" cm="1">
        <f t="array" ref="W28">IFERROR(_xlfn.IFS(AND(ISNUMBER(P28),D28&lt;&gt;"My fuels",D28&lt;&gt;"Biomass"),ROUND((ghostSpreadsheet_CO2!I30)/(ghostSpreadsheet_CO2!F30),INT(5-LOG(ghostSpreadsheet_CO2!I30)))&amp;" kg CO2/TJ",
AND(ISNUMBER(P28),D28="My fuels",VLOOKUP(D28,customTable,2,FALSE)=TRUE),ghostSpreadsheet_CO2!AO30),"-")</f>
        <v>-</v>
      </c>
      <c r="X28" s="440" t="str" cm="1">
        <f t="array" aca="1" ref="X28" ca="1">IFERROR(_xlfn.IFS(AND(ISNUMBER(Q28),D28&lt;&gt;"My fuels"),ROUND(((ghostSpreadsheet_CH4!I30)/(ghostSpreadsheet_CH4!E30)),INT(2-LOG(ghostSpreadsheet_CH4!I30)))&amp;" kg CH4/TJ",
AND(ISNUMBER(Q28),D28="My fuels"),ghostSpreadsheet_CH4!AD30),"-")</f>
        <v>-</v>
      </c>
      <c r="Y28" s="440" t="str" cm="1">
        <f t="array" aca="1" ref="Y28" ca="1">IFERROR(_xlfn.IFS(AND(ISNUMBER(R28),D28&lt;&gt;"My fuels"),ROUND(((ghostSpreadsheet_N2O!J30)/(ghostSpreadsheet_N2O!E30)),INT(2-LOG(ghostSpreadsheet_N2O!J30)))&amp;" kg/TJ",
AND(ISNUMBER(R28),D28="My fuels"),ghostSpreadsheet_N2O!AE30),"-")</f>
        <v>-</v>
      </c>
      <c r="Z28" s="440" t="str" cm="1">
        <f t="array" ref="Z28">IFERROR(_xlfn.IFS(AND(ISNUMBER(V28),D28&lt;&gt;"My fuels",D28="Biomass"),ROUND(ghostSpreadsheet_CO2!I30/(ghostSpreadsheet_CO2!F30),INT(5-LOG(ghostSpreadsheet_CO2!I30)))&amp;" kg CO2/TJ",
AND(ISNUMBER(V28),D28="My fuels",VLOOKUP(D28,customTable,2,FALSE)=Biomass),ghostSpreadsheet_CO2!AO30),"-")</f>
        <v>-</v>
      </c>
      <c r="AA28" s="494" t="str">
        <f>IF(ghostSpreadsheet_CH4!J30="","",ghostSpreadsheet_CO2!K30)</f>
        <v/>
      </c>
      <c r="AB28" s="446" t="str" cm="1">
        <f t="array" ref="AB28">_xlfn.IFNA(_xlfn.IFS(
AND(I28&lt;&gt;"Therm",I28&lt;&gt;"mmBtu",I28&lt;&gt;"TJ",I28&lt;&gt;"MJ",I28&lt;&gt;"GJ",I28&lt;&gt;"kWh",ISTEXT(I28),D28&lt;&gt;"My fuels"),
I28&amp;" to"&amp;" "&amp;"TJ based on fuel's density and heat content (or calorific value)",
AND(OR(I28="Therm",I28="mmBtu",I28="MJ",I28="GJ",I28="kWh"),D28&lt;&gt;"My fuels"),
I28&amp;" to"&amp;" "&amp;"TJ based on energy conversion",
(VLOOKUP(E28,customTable,7,FALSE)&lt;&gt;I28),I28&amp;" to"&amp;" "&amp;VLOOKUP(E28,customTable,7,FALSE)),"")</f>
        <v/>
      </c>
      <c r="AC28"/>
      <c r="AD28"/>
      <c r="AE28"/>
      <c r="AF28"/>
    </row>
    <row r="29" spans="2:32" s="132" customFormat="1" ht="32.25" customHeight="1" x14ac:dyDescent="0.25">
      <c r="B29" s="530"/>
      <c r="C29" s="407"/>
      <c r="D29" s="406"/>
      <c r="E29" s="408"/>
      <c r="F29" s="404" t="str">
        <f t="shared" si="0"/>
        <v/>
      </c>
      <c r="G29" s="404" t="str">
        <f t="shared" si="1"/>
        <v/>
      </c>
      <c r="H29" s="409"/>
      <c r="I29" s="406"/>
      <c r="J29" s="404" t="str">
        <f>IF(ISERROR(VLOOKUP(I29,unitStates,3,FALSE)), "", IF(VLOOKUP(I29,unitStates,3,FALSE)=0, IF(D29="My fuels", VLOOKUP('3. Calculator'!E29,customTable,16, FALSE),"HVList"), "notApplicable"))</f>
        <v/>
      </c>
      <c r="K29" s="404" t="b">
        <f t="shared" si="4"/>
        <v>1</v>
      </c>
      <c r="L29" s="406"/>
      <c r="M29" s="503" t="str">
        <f>IF(D29="My fuels","-",_xlfn.IFNA(IF(VLOOKUP(E29,'2. Settings'!$B$15:$C$47,2,FALSE)="","Please enter fuel density in Settings.",VLOOKUP(E29,'2. Settings'!$B$15:$C$47,2,FALSE)),""))</f>
        <v/>
      </c>
      <c r="N29" s="503" t="str">
        <f>IF(D29="My fuels","-",_xlfn.IFNA(IF(VLOOKUP(E29,'2. Settings'!$B$15:$D$47,3,FALSE)="","Please enter fuel density in Settings.",VLOOKUP(E29,'2. Settings'!$B$15:$D$47,3,FALSE)),""))</f>
        <v/>
      </c>
      <c r="O29" s="503" t="str">
        <f>_xlfn.IFNA(IF(AND(VLOOKUP(VLOOKUP(E29,'2. Settings'!$B$57:$Q$75,7,FALSE),General_listings!$C$323:$D$336,2,FALSE)=VLOOKUP(I29,General_listings!$C$323:$D$336,2,FALSE),
VLOOKUP(E29,'2. Settings'!$B$57:$Q$75,16,FALSE)=L29),"","!Please select appropriate fuel amount units cluster and/or heating value basis"),"")</f>
        <v/>
      </c>
      <c r="P29" s="410" t="str">
        <f>IF(ISERROR(IF(H29="", "", ghostSpreadsheet_CO2!AW31)), "", IF(H29="", "", ghostSpreadsheet_CO2!AW31))</f>
        <v/>
      </c>
      <c r="Q29" s="410" t="str">
        <f>IF(ISERROR(IF(H29="", "", IF(ghostSpreadsheet_CH4!AH31=0, "", ghostSpreadsheet_CH4!AH31))), "", IF(H29="", "", IF(ghostSpreadsheet_CH4!AH31=0, "", ghostSpreadsheet_CH4!AH31)))</f>
        <v/>
      </c>
      <c r="R29" s="435" t="str">
        <f>IF(ISERROR(IF(H29="","",IF(ghostSpreadsheet_N2O!AI31=0, "", ghostSpreadsheet_N2O!AI31))), "", IF(H29="","",IF(ghostSpreadsheet_N2O!AI31=0, "", ghostSpreadsheet_N2O!AI31)))</f>
        <v/>
      </c>
      <c r="S29" s="411">
        <f t="shared" si="7"/>
        <v>0</v>
      </c>
      <c r="T29" s="411">
        <f t="shared" si="8"/>
        <v>0</v>
      </c>
      <c r="U29" s="410" t="str">
        <f>IF(ISERROR((S29*(VLOOKUP('2. Settings'!$C$7,GWPTable,3,FALSE)))+(T29*(VLOOKUP('2. Settings'!$C$7,GWPTable,4,FALSE)) +P29)),"",P29+(S29*(VLOOKUP('2. Settings'!$C$7,GWPTable,3,FALSE)))+(T29*(VLOOKUP('2. Settings'!$C$7,GWPTable,4,FALSE))))</f>
        <v/>
      </c>
      <c r="V29" s="423" t="str">
        <f>IF(ISERROR(IF(H29="", "", IF(ghostSpreadsheet_CO2!AX31=0, "", ghostSpreadsheet_CO2!AX31))), "", IF(H29="", "", IF(ghostSpreadsheet_CO2!AX31=0, "", ghostSpreadsheet_CO2!AX31)))</f>
        <v/>
      </c>
      <c r="W29" s="496" t="str" cm="1">
        <f t="array" ref="W29">IFERROR(_xlfn.IFS(AND(ISNUMBER(P29),D29&lt;&gt;"My fuels",D29&lt;&gt;"Biomass"),ROUND((ghostSpreadsheet_CO2!I31)/(ghostSpreadsheet_CO2!F31),INT(5-LOG(ghostSpreadsheet_CO2!I31)))&amp;" kg CO2/TJ",
AND(ISNUMBER(P29),D29="My fuels",VLOOKUP(D29,customTable,2,FALSE)=TRUE),ghostSpreadsheet_CO2!AO31),"-")</f>
        <v>-</v>
      </c>
      <c r="X29" s="440" t="str" cm="1">
        <f t="array" aca="1" ref="X29" ca="1">IFERROR(_xlfn.IFS(AND(ISNUMBER(Q29),D29&lt;&gt;"My fuels"),ROUND(((ghostSpreadsheet_CH4!I31)/(ghostSpreadsheet_CH4!E31)),INT(2-LOG(ghostSpreadsheet_CH4!I31)))&amp;" kg CH4/TJ",
AND(ISNUMBER(Q29),D29="My fuels"),ghostSpreadsheet_CH4!AD31),"-")</f>
        <v>-</v>
      </c>
      <c r="Y29" s="440" t="str" cm="1">
        <f t="array" aca="1" ref="Y29" ca="1">IFERROR(_xlfn.IFS(AND(ISNUMBER(R29),D29&lt;&gt;"My fuels"),ROUND(((ghostSpreadsheet_N2O!J31)/(ghostSpreadsheet_N2O!E31)),INT(2-LOG(ghostSpreadsheet_N2O!J31)))&amp;" kg/TJ",
AND(ISNUMBER(R29),D29="My fuels"),ghostSpreadsheet_N2O!AE31),"-")</f>
        <v>-</v>
      </c>
      <c r="Z29" s="440" t="str" cm="1">
        <f t="array" ref="Z29">IFERROR(_xlfn.IFS(AND(ISNUMBER(V29),D29&lt;&gt;"My fuels",D29="Biomass"),ROUND(ghostSpreadsheet_CO2!I31/(ghostSpreadsheet_CO2!F31),INT(5-LOG(ghostSpreadsheet_CO2!I31)))&amp;" kg CO2/TJ",
AND(ISNUMBER(V29),D29="My fuels",VLOOKUP(D29,customTable,2,FALSE)=Biomass),ghostSpreadsheet_CO2!AO31),"-")</f>
        <v>-</v>
      </c>
      <c r="AA29" s="494" t="str">
        <f>IF(ghostSpreadsheet_CH4!J31="","",ghostSpreadsheet_CO2!K31)</f>
        <v/>
      </c>
      <c r="AB29" s="446" t="str" cm="1">
        <f t="array" ref="AB29">_xlfn.IFNA(_xlfn.IFS(
AND(I29&lt;&gt;"Therm",I29&lt;&gt;"mmBtu",I29&lt;&gt;"TJ",I29&lt;&gt;"MJ",I29&lt;&gt;"GJ",I29&lt;&gt;"kWh",ISTEXT(I29),D29&lt;&gt;"My fuels"),
I29&amp;" to"&amp;" "&amp;"TJ based on fuel's density and heat content (or calorific value)",
AND(OR(I29="Therm",I29="mmBtu",I29="MJ",I29="GJ",I29="kWh"),D29&lt;&gt;"My fuels"),
I29&amp;" to"&amp;" "&amp;"TJ based on energy conversion",
(VLOOKUP(E29,customTable,7,FALSE)&lt;&gt;I29),I29&amp;" to"&amp;" "&amp;VLOOKUP(E29,customTable,7,FALSE)),"")</f>
        <v/>
      </c>
      <c r="AC29"/>
      <c r="AD29"/>
      <c r="AE29"/>
      <c r="AF29"/>
    </row>
    <row r="30" spans="2:32" s="132" customFormat="1" ht="32.25" customHeight="1" x14ac:dyDescent="0.25">
      <c r="B30" s="530"/>
      <c r="C30" s="407"/>
      <c r="D30" s="406"/>
      <c r="E30" s="408"/>
      <c r="F30" s="404" t="str">
        <f t="shared" si="0"/>
        <v/>
      </c>
      <c r="G30" s="404" t="str">
        <f t="shared" si="1"/>
        <v/>
      </c>
      <c r="H30" s="409"/>
      <c r="I30" s="406"/>
      <c r="J30" s="404" t="str">
        <f>IF(ISERROR(VLOOKUP(I30,unitStates,3,FALSE)), "", IF(VLOOKUP(I30,unitStates,3,FALSE)=0, IF(D30="My fuels", VLOOKUP('3. Calculator'!E30,customTable,16, FALSE),"HVList"), "notApplicable"))</f>
        <v/>
      </c>
      <c r="K30" s="404" t="b">
        <f t="shared" si="4"/>
        <v>1</v>
      </c>
      <c r="L30" s="406"/>
      <c r="M30" s="503" t="str">
        <f>IF(D30="My fuels","-",_xlfn.IFNA(IF(VLOOKUP(E30,'2. Settings'!$B$15:$C$47,2,FALSE)="","Please enter fuel density in Settings.",VLOOKUP(E30,'2. Settings'!$B$15:$C$47,2,FALSE)),""))</f>
        <v/>
      </c>
      <c r="N30" s="503" t="str">
        <f>IF(D30="My fuels","-",_xlfn.IFNA(IF(VLOOKUP(E30,'2. Settings'!$B$15:$D$47,3,FALSE)="","Please enter fuel density in Settings.",VLOOKUP(E30,'2. Settings'!$B$15:$D$47,3,FALSE)),""))</f>
        <v/>
      </c>
      <c r="O30" s="503" t="str">
        <f>_xlfn.IFNA(IF(AND(VLOOKUP(VLOOKUP(E30,'2. Settings'!$B$57:$Q$75,7,FALSE),General_listings!$C$323:$D$336,2,FALSE)=VLOOKUP(I30,General_listings!$C$323:$D$336,2,FALSE),
VLOOKUP(E30,'2. Settings'!$B$57:$Q$75,16,FALSE)=L30),"","!Please select appropriate fuel amount units cluster and/or heating value basis"),"")</f>
        <v/>
      </c>
      <c r="P30" s="410" t="str">
        <f>IF(ISERROR(IF(H30="", "", ghostSpreadsheet_CO2!AW32)), "", IF(H30="", "", ghostSpreadsheet_CO2!AW32))</f>
        <v/>
      </c>
      <c r="Q30" s="410" t="str">
        <f>IF(ISERROR(IF(H30="", "", IF(ghostSpreadsheet_CH4!AH32=0, "", ghostSpreadsheet_CH4!AH32))), "", IF(H30="", "", IF(ghostSpreadsheet_CH4!AH32=0, "", ghostSpreadsheet_CH4!AH32)))</f>
        <v/>
      </c>
      <c r="R30" s="435" t="str">
        <f>IF(ISERROR(IF(H30="","",IF(ghostSpreadsheet_N2O!AI32=0, "", ghostSpreadsheet_N2O!AI32))), "", IF(H30="","",IF(ghostSpreadsheet_N2O!AI32=0, "", ghostSpreadsheet_N2O!AI32)))</f>
        <v/>
      </c>
      <c r="S30" s="411">
        <f t="shared" si="7"/>
        <v>0</v>
      </c>
      <c r="T30" s="411">
        <f t="shared" si="8"/>
        <v>0</v>
      </c>
      <c r="U30" s="410" t="str">
        <f>IF(ISERROR((S30*(VLOOKUP('2. Settings'!$C$7,GWPTable,3,FALSE)))+(T30*(VLOOKUP('2. Settings'!$C$7,GWPTable,4,FALSE)) +P30)),"",P30+(S30*(VLOOKUP('2. Settings'!$C$7,GWPTable,3,FALSE)))+(T30*(VLOOKUP('2. Settings'!$C$7,GWPTable,4,FALSE))))</f>
        <v/>
      </c>
      <c r="V30" s="423" t="str">
        <f>IF(ISERROR(IF(H30="", "", IF(ghostSpreadsheet_CO2!AX32=0, "", ghostSpreadsheet_CO2!AX32))), "", IF(H30="", "", IF(ghostSpreadsheet_CO2!AX32=0, "", ghostSpreadsheet_CO2!AX32)))</f>
        <v/>
      </c>
      <c r="W30" s="496" t="str" cm="1">
        <f t="array" ref="W30">IFERROR(_xlfn.IFS(AND(ISNUMBER(P30),D30&lt;&gt;"My fuels",D30&lt;&gt;"Biomass"),ROUND((ghostSpreadsheet_CO2!I32)/(ghostSpreadsheet_CO2!F32),INT(5-LOG(ghostSpreadsheet_CO2!I32)))&amp;" kg CO2/TJ",
AND(ISNUMBER(P30),D30="My fuels",VLOOKUP(D30,customTable,2,FALSE)=TRUE),ghostSpreadsheet_CO2!AO32),"-")</f>
        <v>-</v>
      </c>
      <c r="X30" s="440" t="str" cm="1">
        <f t="array" aca="1" ref="X30" ca="1">IFERROR(_xlfn.IFS(AND(ISNUMBER(Q30),D30&lt;&gt;"My fuels"),ROUND(((ghostSpreadsheet_CH4!I32)/(ghostSpreadsheet_CH4!E32)),INT(2-LOG(ghostSpreadsheet_CH4!I32)))&amp;" kg CH4/TJ",
AND(ISNUMBER(Q30),D30="My fuels"),ghostSpreadsheet_CH4!AD32),"-")</f>
        <v>-</v>
      </c>
      <c r="Y30" s="440" t="str" cm="1">
        <f t="array" aca="1" ref="Y30" ca="1">IFERROR(_xlfn.IFS(AND(ISNUMBER(R30),D30&lt;&gt;"My fuels"),ROUND(((ghostSpreadsheet_N2O!J32)/(ghostSpreadsheet_N2O!E32)),INT(2-LOG(ghostSpreadsheet_N2O!J32)))&amp;" kg/TJ",
AND(ISNUMBER(R30),D30="My fuels"),ghostSpreadsheet_N2O!AE32),"-")</f>
        <v>-</v>
      </c>
      <c r="Z30" s="440" t="str" cm="1">
        <f t="array" ref="Z30">IFERROR(_xlfn.IFS(AND(ISNUMBER(V30),D30&lt;&gt;"My fuels",D30="Biomass"),ROUND(ghostSpreadsheet_CO2!I32/(ghostSpreadsheet_CO2!F32),INT(5-LOG(ghostSpreadsheet_CO2!I32)))&amp;" kg CO2/TJ",
AND(ISNUMBER(V30),D30="My fuels",VLOOKUP(D30,customTable,2,FALSE)=Biomass),ghostSpreadsheet_CO2!AO32),"-")</f>
        <v>-</v>
      </c>
      <c r="AA30" s="494" t="str">
        <f>IF(ghostSpreadsheet_CH4!J32="","",ghostSpreadsheet_CO2!K32)</f>
        <v/>
      </c>
      <c r="AB30" s="446" t="str" cm="1">
        <f t="array" ref="AB30">_xlfn.IFNA(_xlfn.IFS(
AND(I30&lt;&gt;"Therm",I30&lt;&gt;"mmBtu",I30&lt;&gt;"TJ",I30&lt;&gt;"MJ",I30&lt;&gt;"GJ",I30&lt;&gt;"kWh",ISTEXT(I30),D30&lt;&gt;"My fuels"),
I30&amp;" to"&amp;" "&amp;"TJ based on fuel's density and heat content (or calorific value)",
AND(OR(I30="Therm",I30="mmBtu",I30="MJ",I30="GJ",I30="kWh"),D30&lt;&gt;"My fuels"),
I30&amp;" to"&amp;" "&amp;"TJ based on energy conversion",
(VLOOKUP(E30,customTable,7,FALSE)&lt;&gt;I30),I30&amp;" to"&amp;" "&amp;VLOOKUP(E30,customTable,7,FALSE)),"")</f>
        <v/>
      </c>
      <c r="AC30"/>
      <c r="AD30"/>
      <c r="AE30"/>
      <c r="AF30"/>
    </row>
    <row r="31" spans="2:32" s="132" customFormat="1" ht="32.25" customHeight="1" x14ac:dyDescent="0.25">
      <c r="B31" s="530"/>
      <c r="C31" s="407"/>
      <c r="D31" s="406"/>
      <c r="E31" s="408"/>
      <c r="F31" s="404" t="str">
        <f t="shared" si="0"/>
        <v/>
      </c>
      <c r="G31" s="404" t="str">
        <f t="shared" si="1"/>
        <v/>
      </c>
      <c r="H31" s="409"/>
      <c r="I31" s="406"/>
      <c r="J31" s="404" t="str">
        <f>IF(ISERROR(VLOOKUP(I31,unitStates,3,FALSE)), "", IF(VLOOKUP(I31,unitStates,3,FALSE)=0, IF(D31="My fuels", VLOOKUP('3. Calculator'!E31,customTable,16, FALSE),"HVList"), "notApplicable"))</f>
        <v/>
      </c>
      <c r="K31" s="404" t="b">
        <f>J31=IF(J31="", "", IF(J31="notApplicable",0, 1))</f>
        <v>1</v>
      </c>
      <c r="L31" s="406"/>
      <c r="M31" s="503" t="str">
        <f>IF(D31="My fuels","-",_xlfn.IFNA(IF(VLOOKUP(E31,'2. Settings'!$B$15:$C$47,2,FALSE)="","Please enter fuel density in Settings.",VLOOKUP(E31,'2. Settings'!$B$15:$C$47,2,FALSE)),""))</f>
        <v/>
      </c>
      <c r="N31" s="503" t="str">
        <f>IF(D31="My fuels","-",_xlfn.IFNA(IF(VLOOKUP(E31,'2. Settings'!$B$15:$D$47,3,FALSE)="","Please enter fuel density in Settings.",VLOOKUP(E31,'2. Settings'!$B$15:$D$47,3,FALSE)),""))</f>
        <v/>
      </c>
      <c r="O31" s="503" t="str">
        <f>_xlfn.IFNA(IF(AND(VLOOKUP(VLOOKUP(E31,'2. Settings'!$B$57:$Q$75,7,FALSE),General_listings!$C$323:$D$336,2,FALSE)=VLOOKUP(I31,General_listings!$C$323:$D$336,2,FALSE),
VLOOKUP(E31,'2. Settings'!$B$57:$Q$75,16,FALSE)=L31),"","!Please select appropriate fuel amount units cluster and/or heating value basis"),"")</f>
        <v/>
      </c>
      <c r="P31" s="410" t="str">
        <f>IF(ISERROR(IF(H31="", "", ghostSpreadsheet_CO2!AW33)), "", IF(H31="", "", ghostSpreadsheet_CO2!AW33))</f>
        <v/>
      </c>
      <c r="Q31" s="410" t="str">
        <f>IF(ISERROR(IF(H31="", "", IF(ghostSpreadsheet_CH4!AH33=0, "", ghostSpreadsheet_CH4!AH33))), "", IF(H31="", "", IF(ghostSpreadsheet_CH4!AH33=0, "", ghostSpreadsheet_CH4!AH33)))</f>
        <v/>
      </c>
      <c r="R31" s="435" t="str">
        <f>IF(ISERROR(IF(H31="","",IF(ghostSpreadsheet_N2O!AI33=0, "", ghostSpreadsheet_N2O!AI33))), "", IF(H31="","",IF(ghostSpreadsheet_N2O!AI33=0, "", ghostSpreadsheet_N2O!AI33)))</f>
        <v/>
      </c>
      <c r="S31" s="411">
        <f t="shared" si="7"/>
        <v>0</v>
      </c>
      <c r="T31" s="411">
        <f t="shared" si="8"/>
        <v>0</v>
      </c>
      <c r="U31" s="410" t="str">
        <f>IF(ISERROR((S31*(VLOOKUP('2. Settings'!$C$7,GWPTable,3,FALSE)))+(T31*(VLOOKUP('2. Settings'!$C$7,GWPTable,4,FALSE)) +P31)),"",P31+(S31*(VLOOKUP('2. Settings'!$C$7,GWPTable,3,FALSE)))+(T31*(VLOOKUP('2. Settings'!$C$7,GWPTable,4,FALSE))))</f>
        <v/>
      </c>
      <c r="V31" s="423" t="str">
        <f>IF(ISERROR(IF(H31="", "", IF(ghostSpreadsheet_CO2!AX33=0, "", ghostSpreadsheet_CO2!AX33))), "", IF(H31="", "", IF(ghostSpreadsheet_CO2!AX33=0, "", ghostSpreadsheet_CO2!AX33)))</f>
        <v/>
      </c>
      <c r="W31" s="496" t="str" cm="1">
        <f t="array" ref="W31">IFERROR(_xlfn.IFS(AND(ISNUMBER(P31),D31&lt;&gt;"My fuels",D31&lt;&gt;"Biomass"),ROUND((ghostSpreadsheet_CO2!I33)/(ghostSpreadsheet_CO2!F33),INT(5-LOG(ghostSpreadsheet_CO2!I33)))&amp;" kg CO2/TJ",
AND(ISNUMBER(P31),D31="My fuels",VLOOKUP(D31,customTable,2,FALSE)=TRUE),ghostSpreadsheet_CO2!AO33),"-")</f>
        <v>-</v>
      </c>
      <c r="X31" s="440" t="str" cm="1">
        <f t="array" aca="1" ref="X31" ca="1">IFERROR(_xlfn.IFS(AND(ISNUMBER(Q31),D31&lt;&gt;"My fuels"),ROUND(((ghostSpreadsheet_CH4!I33)/(ghostSpreadsheet_CH4!E33)),INT(2-LOG(ghostSpreadsheet_CH4!I33)))&amp;" kg CH4/TJ",
AND(ISNUMBER(Q31),D31="My fuels"),ghostSpreadsheet_CH4!AD33),"-")</f>
        <v>-</v>
      </c>
      <c r="Y31" s="440" t="str" cm="1">
        <f t="array" aca="1" ref="Y31" ca="1">IFERROR(_xlfn.IFS(AND(ISNUMBER(R31),D31&lt;&gt;"My fuels"),ROUND(((ghostSpreadsheet_N2O!J33)/(ghostSpreadsheet_N2O!E33)),INT(2-LOG(ghostSpreadsheet_N2O!J33)))&amp;" kg/TJ",
AND(ISNUMBER(R31),D31="My fuels"),ghostSpreadsheet_N2O!AE33),"-")</f>
        <v>-</v>
      </c>
      <c r="Z31" s="440" t="str" cm="1">
        <f t="array" ref="Z31">IFERROR(_xlfn.IFS(AND(ISNUMBER(V31),D31&lt;&gt;"My fuels",D31="Biomass"),ROUND(ghostSpreadsheet_CO2!I33/(ghostSpreadsheet_CO2!F33),INT(5-LOG(ghostSpreadsheet_CO2!I33)))&amp;" kg CO2/TJ",
AND(ISNUMBER(V31),D31="My fuels",VLOOKUP(D31,customTable,2,FALSE)=Biomass),ghostSpreadsheet_CO2!AO33),"-")</f>
        <v>-</v>
      </c>
      <c r="AA31" s="494" t="str">
        <f>IF(ghostSpreadsheet_CH4!J33="","",ghostSpreadsheet_CO2!K33)</f>
        <v/>
      </c>
      <c r="AB31" s="446" t="str" cm="1">
        <f t="array" ref="AB31">_xlfn.IFNA(_xlfn.IFS(
AND(I31&lt;&gt;"Therm",I31&lt;&gt;"mmBtu",I31&lt;&gt;"TJ",I31&lt;&gt;"MJ",I31&lt;&gt;"GJ",I31&lt;&gt;"kWh",ISTEXT(I31),D31&lt;&gt;"My fuels"),
I31&amp;" to"&amp;" "&amp;"TJ based on fuel's density and heat content (or calorific value)",
AND(OR(I31="Therm",I31="mmBtu",I31="MJ",I31="GJ",I31="kWh"),D31&lt;&gt;"My fuels"),
I31&amp;" to"&amp;" "&amp;"TJ based on energy conversion",
(VLOOKUP(E31,customTable,7,FALSE)&lt;&gt;I31),I31&amp;" to"&amp;" "&amp;VLOOKUP(E31,customTable,7,FALSE)),"")</f>
        <v/>
      </c>
      <c r="AC31"/>
      <c r="AD31"/>
      <c r="AE31"/>
      <c r="AF31"/>
    </row>
    <row r="32" spans="2:32" s="132" customFormat="1" ht="32.25" customHeight="1" thickBot="1" x14ac:dyDescent="0.3">
      <c r="B32" s="531"/>
      <c r="C32" s="447"/>
      <c r="D32" s="448"/>
      <c r="E32" s="449"/>
      <c r="F32" s="404" t="str">
        <f t="shared" si="0"/>
        <v/>
      </c>
      <c r="G32" s="404" t="str">
        <f t="shared" si="1"/>
        <v/>
      </c>
      <c r="H32" s="450"/>
      <c r="I32" s="448"/>
      <c r="J32" s="448" t="str">
        <f>IF(ISERROR(VLOOKUP(I32,unitStates,3,FALSE)), "", IF(VLOOKUP(I32,unitStates,3,FALSE)=0, IF(D32="My fuels", VLOOKUP('3. Calculator'!E32,customTable,16, FALSE),"HVList"), "notApplicable"))</f>
        <v/>
      </c>
      <c r="K32" s="448" t="b">
        <f>J32=IF(J32="", "", IF(J32="notApplicable",0, 1))</f>
        <v>1</v>
      </c>
      <c r="L32" s="448"/>
      <c r="M32" s="504" t="str">
        <f>IF(D32="My fuels","-",_xlfn.IFNA(IF(VLOOKUP(E32,'2. Settings'!$B$15:$C$47,2,FALSE)="","Please enter fuel density in Settings.",VLOOKUP(E32,'2. Settings'!$B$15:$C$47,2,FALSE)),""))</f>
        <v/>
      </c>
      <c r="N32" s="504" t="str">
        <f>IF(D32="My fuels","-",_xlfn.IFNA(IF(VLOOKUP(E32,'2. Settings'!$B$15:$D$47,3,FALSE)="","Please enter fuel density in Settings.",VLOOKUP(E32,'2. Settings'!$B$15:$D$47,3,FALSE)),""))</f>
        <v/>
      </c>
      <c r="O32" s="504" t="str">
        <f>_xlfn.IFNA(IF(AND(VLOOKUP(VLOOKUP(E32,'2. Settings'!$B$57:$Q$75,7,FALSE),General_listings!$C$323:$D$336,2,FALSE)=VLOOKUP(I32,General_listings!$C$323:$D$336,2,FALSE),
VLOOKUP(E32,'2. Settings'!$B$57:$Q$75,16,FALSE)=L32),"","!Please select appropriate fuel amount units cluster and/or heating value basis"),"")</f>
        <v/>
      </c>
      <c r="P32" s="410" t="str">
        <f>IF(ISERROR(IF(H32="", "", ghostSpreadsheet_CO2!AW34)), "", IF(H32="", "", ghostSpreadsheet_CO2!AW34))</f>
        <v/>
      </c>
      <c r="Q32" s="410" t="str">
        <f>IF(ISERROR(IF(H32="", "", IF(ghostSpreadsheet_CH4!AH34=0, "", ghostSpreadsheet_CH4!AH34))), "", IF(H32="", "", IF(ghostSpreadsheet_CH4!AH34=0, "", ghostSpreadsheet_CH4!AH34)))</f>
        <v/>
      </c>
      <c r="R32" s="435" t="str">
        <f>IF(ISERROR(IF(H32="","",IF(ghostSpreadsheet_N2O!AI34=0, "", ghostSpreadsheet_N2O!AI34))), "", IF(H32="","",IF(ghostSpreadsheet_N2O!AI34=0, "", ghostSpreadsheet_N2O!AI34)))</f>
        <v/>
      </c>
      <c r="S32" s="411">
        <f t="shared" si="7"/>
        <v>0</v>
      </c>
      <c r="T32" s="411">
        <f t="shared" si="8"/>
        <v>0</v>
      </c>
      <c r="U32" s="410" t="str">
        <f>IF(ISERROR((S32*(VLOOKUP('2. Settings'!$C$7,GWPTable,3,FALSE)))+(T32*(VLOOKUP('2. Settings'!$C$7,GWPTable,4,FALSE)) +P32)),"",P32+(S32*(VLOOKUP('2. Settings'!$C$7,GWPTable,3,FALSE)))+(T32*(VLOOKUP('2. Settings'!$C$7,GWPTable,4,FALSE))))</f>
        <v/>
      </c>
      <c r="V32" s="423" t="str">
        <f>IF(ISERROR(IF(H32="", "", IF(ghostSpreadsheet_CO2!AX34=0, "", ghostSpreadsheet_CO2!AX34))), "", IF(H32="", "", IF(ghostSpreadsheet_CO2!AX34=0, "", ghostSpreadsheet_CO2!AX34)))</f>
        <v/>
      </c>
      <c r="W32" s="496" t="str" cm="1">
        <f t="array" ref="W32">IFERROR(_xlfn.IFS(AND(ISNUMBER(P32),D32&lt;&gt;"My fuels",D32&lt;&gt;"Biomass"),ROUND((ghostSpreadsheet_CO2!I34)/(ghostSpreadsheet_CO2!F34),INT(5-LOG(ghostSpreadsheet_CO2!I34)))&amp;" kg CO2/TJ",
AND(ISNUMBER(P32),D32="My fuels",VLOOKUP(D32,customTable,2,FALSE)=TRUE),ghostSpreadsheet_CO2!AO34),"-")</f>
        <v>-</v>
      </c>
      <c r="X32" s="440" t="str" cm="1">
        <f t="array" aca="1" ref="X32" ca="1">IFERROR(_xlfn.IFS(AND(ISNUMBER(Q32),D32&lt;&gt;"My fuels"),ROUND(((ghostSpreadsheet_CH4!I34)/(ghostSpreadsheet_CH4!E34)),INT(2-LOG(ghostSpreadsheet_CH4!I34)))&amp;" kg CH4/TJ",
AND(ISNUMBER(Q32),D32="My fuels"),ghostSpreadsheet_CH4!AD34),"-")</f>
        <v>-</v>
      </c>
      <c r="Y32" s="440" t="str" cm="1">
        <f t="array" aca="1" ref="Y32" ca="1">IFERROR(_xlfn.IFS(AND(ISNUMBER(R32),D32&lt;&gt;"My fuels"),ROUND(((ghostSpreadsheet_N2O!J34)/(ghostSpreadsheet_N2O!E34)),INT(2-LOG(ghostSpreadsheet_N2O!J34)))&amp;" kg/TJ",
AND(ISNUMBER(R32),D32="My fuels"),ghostSpreadsheet_N2O!AE34),"-")</f>
        <v>-</v>
      </c>
      <c r="Z32" s="440" t="str" cm="1">
        <f t="array" ref="Z32">IFERROR(_xlfn.IFS(AND(ISNUMBER(V32),D32&lt;&gt;"My fuels",D32="Biomass"),ROUND(ghostSpreadsheet_CO2!I34/(ghostSpreadsheet_CO2!F34),INT(5-LOG(ghostSpreadsheet_CO2!I34)))&amp;" kg CO2/TJ",
AND(ISNUMBER(V32),D32="My fuels",VLOOKUP(D32,customTable,2,FALSE)=Biomass),ghostSpreadsheet_CO2!AO34),"-")</f>
        <v>-</v>
      </c>
      <c r="AA32" s="494" t="str">
        <f>IF(ghostSpreadsheet_CH4!J34="","",ghostSpreadsheet_CO2!K34)</f>
        <v/>
      </c>
      <c r="AB32" s="446" t="str" cm="1">
        <f t="array" ref="AB32">_xlfn.IFNA(_xlfn.IFS(
AND(I32&lt;&gt;"Therm",I32&lt;&gt;"mmBtu",I32&lt;&gt;"TJ",I32&lt;&gt;"MJ",I32&lt;&gt;"GJ",I32&lt;&gt;"kWh",ISTEXT(I32),D32&lt;&gt;"My fuels"),
I32&amp;" to"&amp;" "&amp;"TJ based on fuel's density and heat content (or calorific value)",
AND(OR(I32="Therm",I32="mmBtu",I32="MJ",I32="GJ",I32="kWh"),D32&lt;&gt;"My fuels"),
I32&amp;" to"&amp;" "&amp;"TJ based on energy conversion",
(VLOOKUP(E32,customTable,7,FALSE)&lt;&gt;I32),I32&amp;" to"&amp;" "&amp;VLOOKUP(E32,customTable,7,FALSE)),"")</f>
        <v/>
      </c>
      <c r="AC32"/>
      <c r="AD32"/>
      <c r="AE32"/>
      <c r="AF32"/>
    </row>
    <row r="33" spans="13:28" ht="54" customHeight="1" thickBot="1" x14ac:dyDescent="0.4">
      <c r="M33" s="505"/>
      <c r="N33" s="505"/>
      <c r="O33" s="505"/>
      <c r="P33" s="660" t="s">
        <v>751</v>
      </c>
      <c r="Q33" s="661"/>
      <c r="R33" s="661"/>
      <c r="S33" s="506"/>
      <c r="T33" s="507"/>
      <c r="U33" s="646">
        <f ca="1">IF(ISERROR(ghostSpreadsheet_CO2!G39+ghostSpreadsheet_CH4!G37+ghostSpreadsheet_N2O!G37), "--", ghostSpreadsheet_CO2!G39+ghostSpreadsheet_CH4!G37+ghostSpreadsheet_N2O!G37)</f>
        <v>0</v>
      </c>
      <c r="V33" s="647"/>
      <c r="W33" s="505"/>
      <c r="X33" s="505"/>
      <c r="Y33" s="505"/>
      <c r="Z33" s="505"/>
      <c r="AA33" s="508"/>
      <c r="AB33"/>
    </row>
    <row r="34" spans="13:28" ht="51" customHeight="1" thickBot="1" x14ac:dyDescent="0.4">
      <c r="M34" s="505"/>
      <c r="N34" s="505"/>
      <c r="O34" s="505"/>
      <c r="P34" s="654" t="s">
        <v>752</v>
      </c>
      <c r="Q34" s="655"/>
      <c r="R34" s="656"/>
      <c r="S34" s="509"/>
      <c r="T34" s="510"/>
      <c r="U34" s="652">
        <f>IF(ISERROR(ghostSpreadsheet_CO2!G40), "--", ghostSpreadsheet_CO2!G40)</f>
        <v>0</v>
      </c>
      <c r="V34" s="653"/>
      <c r="W34" s="505"/>
      <c r="X34" s="505"/>
      <c r="Y34" s="505"/>
      <c r="Z34" s="505"/>
      <c r="AA34" s="508"/>
      <c r="AB34"/>
    </row>
    <row r="35" spans="13:28" ht="37.5" customHeight="1" x14ac:dyDescent="0.25"/>
  </sheetData>
  <sheetProtection algorithmName="SHA-512" hashValue="nASjnfaLrlSNW5uvag2n82CpdaTZ3Sjp/TCH9ONDQw5Dgdd8JeJwIWmLKV3eCB4BMWlhshEICzEKX7uB2GNCHQ==" saltValue="Tx2Us4N4vbEPq6TCvAmIxQ==" spinCount="100000" sheet="1" objects="1" scenarios="1"/>
  <dataConsolidate/>
  <mergeCells count="10">
    <mergeCell ref="U34:V34"/>
    <mergeCell ref="P34:R34"/>
    <mergeCell ref="P6:V6"/>
    <mergeCell ref="P33:R33"/>
    <mergeCell ref="W6:AB6"/>
    <mergeCell ref="B6:L6"/>
    <mergeCell ref="M6:N6"/>
    <mergeCell ref="U33:V33"/>
    <mergeCell ref="O6:O7"/>
    <mergeCell ref="B5:L5"/>
  </mergeCells>
  <phoneticPr fontId="3" type="noConversion"/>
  <conditionalFormatting sqref="H8:I8 L8 O8">
    <cfRule type="expression" dxfId="1" priority="1">
      <formula>$O$8="You have made changes in Settings. Please update the unit of measurement and/or heating value basis."</formula>
    </cfRule>
  </conditionalFormatting>
  <conditionalFormatting sqref="M8:N32">
    <cfRule type="expression" dxfId="0" priority="2">
      <formula>AND($I8&lt;&gt;"barrel (bbl)", $I8&lt;&gt;"gallon ", $I8&lt;&gt;"litres (l)",$I8&lt;&gt;"foot3",$I8&lt;&gt;"metre3")</formula>
    </cfRule>
  </conditionalFormatting>
  <dataValidations count="4">
    <dataValidation type="list" allowBlank="1" showInputMessage="1" showErrorMessage="1" sqref="I8:I32 L8:L32" xr:uid="{C33202CB-7B0D-4E9C-9C15-9653D74F97C7}">
      <formula1>INDIRECT(G8)</formula1>
    </dataValidation>
    <dataValidation type="list" allowBlank="1" showInputMessage="1" showErrorMessage="1" sqref="E8:E32" xr:uid="{4F5471A7-11A2-437C-972E-016415B14A86}">
      <formula1>INDIRECT(F8)</formula1>
    </dataValidation>
    <dataValidation type="list" allowBlank="1" showInputMessage="1" showErrorMessage="1" sqref="C8:C32" xr:uid="{8E288292-536F-4ED9-826B-9698BA8F8FB7}">
      <formula1>Industries</formula1>
    </dataValidation>
    <dataValidation type="list" allowBlank="1" showInputMessage="1" showErrorMessage="1" sqref="D8:D32" xr:uid="{82AE46E3-1788-42F5-A26D-F158D894E780}">
      <formula1>fourCategories</formula1>
    </dataValidation>
  </dataValidation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59999389629810485"/>
  </sheetPr>
  <dimension ref="A1:IR356"/>
  <sheetViews>
    <sheetView workbookViewId="0">
      <selection activeCell="F17" sqref="F17"/>
    </sheetView>
  </sheetViews>
  <sheetFormatPr defaultRowHeight="13.2" x14ac:dyDescent="0.25"/>
  <cols>
    <col min="1" max="1" width="12" customWidth="1"/>
    <col min="2" max="2" width="26.44140625" style="132" customWidth="1"/>
    <col min="3" max="3" width="37.6640625" style="132" bestFit="1" customWidth="1"/>
    <col min="4" max="4" width="28" style="135" customWidth="1"/>
    <col min="5" max="5" width="27.88671875" style="135" customWidth="1"/>
    <col min="6" max="6" width="29.5546875" style="287" customWidth="1"/>
    <col min="7" max="7" width="23.88671875" style="135" customWidth="1"/>
    <col min="8" max="8" width="16.109375" style="135" customWidth="1"/>
    <col min="9" max="9" width="14.33203125" style="135" customWidth="1"/>
    <col min="10" max="10" width="30.6640625" customWidth="1"/>
    <col min="11" max="11" width="21.44140625" customWidth="1"/>
    <col min="12" max="12" width="26.44140625" bestFit="1" customWidth="1"/>
    <col min="13" max="13" width="16.5546875" customWidth="1"/>
    <col min="14" max="14" width="28.44140625" bestFit="1" customWidth="1"/>
    <col min="15" max="15" width="17.88671875" customWidth="1"/>
    <col min="16" max="16" width="13.6640625" bestFit="1" customWidth="1"/>
    <col min="17" max="17" width="16.44140625" customWidth="1"/>
    <col min="18" max="18" width="23" customWidth="1"/>
    <col min="19" max="19" width="25.5546875" customWidth="1"/>
    <col min="20" max="20" width="22.109375" customWidth="1"/>
    <col min="21" max="21" width="37" customWidth="1"/>
    <col min="22" max="22" width="34.88671875" bestFit="1" customWidth="1"/>
    <col min="23" max="23" width="13.6640625" bestFit="1" customWidth="1"/>
    <col min="24" max="24" width="19.109375" bestFit="1" customWidth="1"/>
    <col min="25" max="25" width="11.109375" bestFit="1" customWidth="1"/>
    <col min="26" max="26" width="12.6640625" bestFit="1" customWidth="1"/>
  </cols>
  <sheetData>
    <row r="1" spans="1:252" ht="17.399999999999999" x14ac:dyDescent="0.25">
      <c r="B1" s="149" t="s">
        <v>237</v>
      </c>
    </row>
    <row r="3" spans="1:252" ht="13.8" thickBot="1" x14ac:dyDescent="0.3">
      <c r="B3" s="124" t="s">
        <v>618</v>
      </c>
    </row>
    <row r="4" spans="1:252" ht="27.75" customHeight="1" x14ac:dyDescent="0.25">
      <c r="B4" s="671" t="s">
        <v>21</v>
      </c>
      <c r="C4" s="672"/>
      <c r="D4" s="675" t="s">
        <v>616</v>
      </c>
      <c r="E4" s="137" t="s">
        <v>230</v>
      </c>
      <c r="F4" s="288" t="s">
        <v>236</v>
      </c>
      <c r="G4" s="669" t="s">
        <v>232</v>
      </c>
      <c r="H4"/>
      <c r="I4"/>
    </row>
    <row r="5" spans="1:252" s="1" customFormat="1" ht="13.8" thickBot="1" x14ac:dyDescent="0.3">
      <c r="A5"/>
      <c r="B5" s="673"/>
      <c r="C5" s="674"/>
      <c r="D5" s="676"/>
      <c r="E5" s="139" t="s">
        <v>44</v>
      </c>
      <c r="F5" s="289" t="s">
        <v>45</v>
      </c>
      <c r="G5" s="670"/>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row>
    <row r="6" spans="1:252" s="9" customFormat="1" x14ac:dyDescent="0.25">
      <c r="A6"/>
      <c r="B6" s="150" t="s">
        <v>34</v>
      </c>
      <c r="C6" s="261" t="s">
        <v>397</v>
      </c>
      <c r="D6" s="271">
        <v>1</v>
      </c>
      <c r="E6" s="135">
        <v>73300</v>
      </c>
      <c r="F6" s="290">
        <v>42.3</v>
      </c>
      <c r="G6" s="172" t="s">
        <v>233</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row>
    <row r="7" spans="1:252" x14ac:dyDescent="0.25">
      <c r="B7" s="119"/>
      <c r="C7" s="261" t="s">
        <v>22</v>
      </c>
      <c r="D7" s="178">
        <v>1</v>
      </c>
      <c r="E7" s="135">
        <v>77000</v>
      </c>
      <c r="F7" s="290">
        <v>27.5</v>
      </c>
      <c r="G7" s="172" t="s">
        <v>234</v>
      </c>
      <c r="H7"/>
      <c r="I7"/>
    </row>
    <row r="8" spans="1:252" x14ac:dyDescent="0.25">
      <c r="B8" s="119"/>
      <c r="C8" s="261" t="s">
        <v>406</v>
      </c>
      <c r="D8" s="178">
        <v>1</v>
      </c>
      <c r="E8" s="135">
        <v>64200</v>
      </c>
      <c r="F8" s="290">
        <v>44.2</v>
      </c>
      <c r="G8" s="172" t="s">
        <v>234</v>
      </c>
      <c r="H8"/>
      <c r="I8"/>
    </row>
    <row r="9" spans="1:252" s="9" customFormat="1" x14ac:dyDescent="0.25">
      <c r="A9"/>
      <c r="B9" s="119"/>
      <c r="C9" s="261" t="s">
        <v>398</v>
      </c>
      <c r="D9" s="178">
        <v>1</v>
      </c>
      <c r="E9" s="135">
        <v>69300</v>
      </c>
      <c r="F9" s="290">
        <v>44.3</v>
      </c>
      <c r="G9" s="172" t="s">
        <v>233</v>
      </c>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row>
    <row r="10" spans="1:252" s="9" customFormat="1" x14ac:dyDescent="0.25">
      <c r="A10"/>
      <c r="B10" s="119"/>
      <c r="C10" s="261" t="s">
        <v>399</v>
      </c>
      <c r="D10" s="178">
        <v>1</v>
      </c>
      <c r="E10" s="135">
        <v>70000</v>
      </c>
      <c r="F10" s="290">
        <v>44.3</v>
      </c>
      <c r="G10" s="172" t="s">
        <v>233</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row>
    <row r="11" spans="1:252" x14ac:dyDescent="0.25">
      <c r="B11" s="119"/>
      <c r="C11" s="261" t="s">
        <v>425</v>
      </c>
      <c r="D11" s="178">
        <v>1</v>
      </c>
      <c r="E11" s="135">
        <v>70000</v>
      </c>
      <c r="F11" s="290">
        <v>44.3</v>
      </c>
      <c r="G11" s="172" t="s">
        <v>234</v>
      </c>
      <c r="H11"/>
      <c r="I11"/>
    </row>
    <row r="12" spans="1:252" s="9" customFormat="1" x14ac:dyDescent="0.25">
      <c r="A12"/>
      <c r="B12" s="119"/>
      <c r="C12" s="261" t="s">
        <v>400</v>
      </c>
      <c r="D12" s="178">
        <v>1</v>
      </c>
      <c r="E12" s="135">
        <v>71500</v>
      </c>
      <c r="F12" s="290">
        <v>44.1</v>
      </c>
      <c r="G12" s="172" t="s">
        <v>233</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row>
    <row r="13" spans="1:252" s="9" customFormat="1" x14ac:dyDescent="0.25">
      <c r="A13"/>
      <c r="B13" s="119"/>
      <c r="C13" s="261" t="s">
        <v>401</v>
      </c>
      <c r="D13" s="178">
        <v>1</v>
      </c>
      <c r="E13" s="135">
        <v>71900</v>
      </c>
      <c r="F13" s="290">
        <v>43.8</v>
      </c>
      <c r="G13" s="172" t="s">
        <v>233</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row>
    <row r="14" spans="1:252" s="9" customFormat="1" x14ac:dyDescent="0.25">
      <c r="A14"/>
      <c r="B14" s="119"/>
      <c r="C14" s="261" t="s">
        <v>383</v>
      </c>
      <c r="D14" s="178">
        <v>1</v>
      </c>
      <c r="E14" s="135">
        <v>73300</v>
      </c>
      <c r="F14" s="290">
        <v>38.1</v>
      </c>
      <c r="G14" s="172" t="s">
        <v>233</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row>
    <row r="15" spans="1:252" s="9" customFormat="1" x14ac:dyDescent="0.25">
      <c r="A15"/>
      <c r="B15" s="119"/>
      <c r="C15" s="261" t="s">
        <v>384</v>
      </c>
      <c r="D15" s="178">
        <v>1</v>
      </c>
      <c r="E15" s="135">
        <v>74100</v>
      </c>
      <c r="F15" s="290">
        <v>43</v>
      </c>
      <c r="G15" s="172" t="s">
        <v>233</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row>
    <row r="16" spans="1:252" s="9" customFormat="1" x14ac:dyDescent="0.25">
      <c r="A16"/>
      <c r="B16" s="119"/>
      <c r="C16" s="261" t="s">
        <v>385</v>
      </c>
      <c r="D16" s="178">
        <v>1</v>
      </c>
      <c r="E16" s="135">
        <v>77400</v>
      </c>
      <c r="F16" s="290">
        <v>40.4</v>
      </c>
      <c r="G16" s="172" t="s">
        <v>233</v>
      </c>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row>
    <row r="17" spans="1:252" s="9" customFormat="1" x14ac:dyDescent="0.25">
      <c r="A17"/>
      <c r="B17" s="119"/>
      <c r="C17" s="261" t="s">
        <v>386</v>
      </c>
      <c r="D17" s="178">
        <v>1</v>
      </c>
      <c r="E17" s="135">
        <v>63100</v>
      </c>
      <c r="F17" s="290">
        <v>47.3</v>
      </c>
      <c r="G17" s="172" t="s">
        <v>233</v>
      </c>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row>
    <row r="18" spans="1:252" s="9" customFormat="1" x14ac:dyDescent="0.25">
      <c r="A18"/>
      <c r="B18" s="119"/>
      <c r="C18" s="261" t="s">
        <v>23</v>
      </c>
      <c r="D18" s="178">
        <v>1</v>
      </c>
      <c r="E18" s="135">
        <v>61600</v>
      </c>
      <c r="F18" s="290">
        <v>46.4</v>
      </c>
      <c r="G18" s="172" t="s">
        <v>233</v>
      </c>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row>
    <row r="19" spans="1:252" s="9" customFormat="1" x14ac:dyDescent="0.25">
      <c r="A19"/>
      <c r="B19" s="119"/>
      <c r="C19" s="261" t="s">
        <v>24</v>
      </c>
      <c r="D19" s="178">
        <v>1</v>
      </c>
      <c r="E19" s="135">
        <v>73300</v>
      </c>
      <c r="F19" s="290">
        <v>44.5</v>
      </c>
      <c r="G19" s="172" t="s">
        <v>233</v>
      </c>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row>
    <row r="20" spans="1:252" x14ac:dyDescent="0.25">
      <c r="B20" s="119"/>
      <c r="C20" s="261" t="s">
        <v>25</v>
      </c>
      <c r="D20" s="178">
        <v>1</v>
      </c>
      <c r="E20" s="135">
        <v>80700</v>
      </c>
      <c r="F20" s="290">
        <v>40.200000000000003</v>
      </c>
      <c r="G20" s="172" t="s">
        <v>234</v>
      </c>
      <c r="H20"/>
      <c r="I20"/>
    </row>
    <row r="21" spans="1:252" s="9" customFormat="1" x14ac:dyDescent="0.25">
      <c r="A21"/>
      <c r="B21" s="119"/>
      <c r="C21" s="261" t="s">
        <v>26</v>
      </c>
      <c r="D21" s="178">
        <v>1</v>
      </c>
      <c r="E21" s="135">
        <v>73300</v>
      </c>
      <c r="F21" s="290">
        <v>40.200000000000003</v>
      </c>
      <c r="G21" s="172" t="s">
        <v>233</v>
      </c>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row>
    <row r="22" spans="1:252" x14ac:dyDescent="0.25">
      <c r="B22" s="119"/>
      <c r="C22" s="261" t="s">
        <v>407</v>
      </c>
      <c r="D22" s="178">
        <v>1</v>
      </c>
      <c r="E22" s="135">
        <v>97500</v>
      </c>
      <c r="F22" s="290">
        <v>32.5</v>
      </c>
      <c r="G22" s="172" t="s">
        <v>234</v>
      </c>
      <c r="H22"/>
      <c r="I22"/>
    </row>
    <row r="23" spans="1:252" x14ac:dyDescent="0.25">
      <c r="B23" s="119"/>
      <c r="C23" s="261" t="s">
        <v>408</v>
      </c>
      <c r="D23" s="178">
        <v>1</v>
      </c>
      <c r="E23" s="135">
        <v>73300</v>
      </c>
      <c r="F23" s="290">
        <v>43</v>
      </c>
      <c r="G23" s="172" t="s">
        <v>234</v>
      </c>
      <c r="H23"/>
      <c r="I23"/>
    </row>
    <row r="24" spans="1:252" x14ac:dyDescent="0.25">
      <c r="B24" s="119"/>
      <c r="C24" s="261" t="s">
        <v>409</v>
      </c>
      <c r="D24" s="178">
        <v>1</v>
      </c>
      <c r="E24" s="135">
        <v>57600</v>
      </c>
      <c r="F24" s="290">
        <v>49.5</v>
      </c>
      <c r="G24" s="172" t="s">
        <v>234</v>
      </c>
      <c r="H24"/>
      <c r="I24"/>
    </row>
    <row r="25" spans="1:252" x14ac:dyDescent="0.25">
      <c r="B25" s="119"/>
      <c r="C25" s="261" t="s">
        <v>410</v>
      </c>
      <c r="D25" s="178">
        <v>1</v>
      </c>
      <c r="E25" s="135">
        <v>73300</v>
      </c>
      <c r="F25" s="290">
        <v>40.200000000000003</v>
      </c>
      <c r="G25" s="172" t="s">
        <v>234</v>
      </c>
      <c r="H25"/>
      <c r="I25"/>
    </row>
    <row r="26" spans="1:252" x14ac:dyDescent="0.25">
      <c r="B26" s="119"/>
      <c r="C26" s="261" t="s">
        <v>411</v>
      </c>
      <c r="D26" s="178">
        <v>1</v>
      </c>
      <c r="E26" s="135">
        <v>73300</v>
      </c>
      <c r="F26" s="290">
        <v>40.200000000000003</v>
      </c>
      <c r="G26" s="172" t="s">
        <v>234</v>
      </c>
      <c r="H26"/>
      <c r="I26"/>
    </row>
    <row r="27" spans="1:252" x14ac:dyDescent="0.25">
      <c r="B27" s="119"/>
      <c r="C27" s="261" t="s">
        <v>412</v>
      </c>
      <c r="D27" s="178">
        <v>1</v>
      </c>
      <c r="E27" s="135">
        <v>73300</v>
      </c>
      <c r="F27" s="290">
        <v>40.200000000000003</v>
      </c>
      <c r="G27" s="172" t="s">
        <v>234</v>
      </c>
      <c r="H27"/>
      <c r="I27"/>
    </row>
    <row r="28" spans="1:252" s="9" customFormat="1" x14ac:dyDescent="0.25">
      <c r="A28"/>
      <c r="B28" s="119" t="s">
        <v>35</v>
      </c>
      <c r="C28" s="261" t="s">
        <v>27</v>
      </c>
      <c r="D28" s="178">
        <v>1</v>
      </c>
      <c r="E28" s="135">
        <v>98300</v>
      </c>
      <c r="F28" s="290">
        <v>26.7</v>
      </c>
      <c r="G28" s="172" t="s">
        <v>233</v>
      </c>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row>
    <row r="29" spans="1:252" s="9" customFormat="1" x14ac:dyDescent="0.25">
      <c r="A29"/>
      <c r="B29" s="119"/>
      <c r="C29" s="261" t="s">
        <v>387</v>
      </c>
      <c r="D29" s="178">
        <v>1</v>
      </c>
      <c r="E29" s="135">
        <v>94600</v>
      </c>
      <c r="F29" s="290">
        <v>28.2</v>
      </c>
      <c r="G29" s="172" t="s">
        <v>233</v>
      </c>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row>
    <row r="30" spans="1:252" s="9" customFormat="1" x14ac:dyDescent="0.25">
      <c r="A30"/>
      <c r="B30" s="119"/>
      <c r="C30" s="261" t="s">
        <v>388</v>
      </c>
      <c r="D30" s="178">
        <v>1</v>
      </c>
      <c r="E30" s="135">
        <v>94600</v>
      </c>
      <c r="F30" s="290">
        <v>25.8</v>
      </c>
      <c r="G30" s="172" t="s">
        <v>233</v>
      </c>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row>
    <row r="31" spans="1:252" s="9" customFormat="1" x14ac:dyDescent="0.25">
      <c r="A31"/>
      <c r="B31" s="119"/>
      <c r="C31" s="261" t="s">
        <v>389</v>
      </c>
      <c r="D31" s="178">
        <v>1</v>
      </c>
      <c r="E31" s="135">
        <v>96100</v>
      </c>
      <c r="F31" s="290">
        <v>18.899999999999999</v>
      </c>
      <c r="G31" s="172" t="s">
        <v>233</v>
      </c>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row>
    <row r="32" spans="1:252" s="9" customFormat="1" x14ac:dyDescent="0.25">
      <c r="A32"/>
      <c r="B32" s="119"/>
      <c r="C32" s="261" t="s">
        <v>28</v>
      </c>
      <c r="D32" s="178">
        <v>1</v>
      </c>
      <c r="E32" s="135">
        <v>101000</v>
      </c>
      <c r="F32" s="290">
        <v>11.9</v>
      </c>
      <c r="G32" s="172" t="s">
        <v>233</v>
      </c>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row>
    <row r="33" spans="1:252" x14ac:dyDescent="0.25">
      <c r="B33" s="119"/>
      <c r="C33" s="261" t="s">
        <v>29</v>
      </c>
      <c r="D33" s="178">
        <v>1</v>
      </c>
      <c r="E33" s="135">
        <v>107000</v>
      </c>
      <c r="F33" s="290">
        <v>8.9</v>
      </c>
      <c r="G33" s="172" t="s">
        <v>234</v>
      </c>
      <c r="H33"/>
      <c r="I33"/>
    </row>
    <row r="34" spans="1:252" s="9" customFormat="1" x14ac:dyDescent="0.25">
      <c r="A34"/>
      <c r="B34" s="119"/>
      <c r="C34" s="261" t="s">
        <v>390</v>
      </c>
      <c r="D34" s="178">
        <v>1</v>
      </c>
      <c r="E34" s="135">
        <v>97500</v>
      </c>
      <c r="F34" s="290">
        <v>20.7</v>
      </c>
      <c r="G34" s="172" t="s">
        <v>233</v>
      </c>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row>
    <row r="35" spans="1:252" s="9" customFormat="1" x14ac:dyDescent="0.25">
      <c r="A35"/>
      <c r="B35" s="119"/>
      <c r="C35" s="261" t="s">
        <v>391</v>
      </c>
      <c r="D35" s="178">
        <v>1</v>
      </c>
      <c r="E35" s="135">
        <v>97500</v>
      </c>
      <c r="F35" s="290">
        <v>20.7</v>
      </c>
      <c r="G35" s="172" t="s">
        <v>233</v>
      </c>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row>
    <row r="36" spans="1:252" s="9" customFormat="1" x14ac:dyDescent="0.25">
      <c r="A36"/>
      <c r="B36" s="119"/>
      <c r="C36" s="261" t="s">
        <v>380</v>
      </c>
      <c r="D36" s="178">
        <v>1</v>
      </c>
      <c r="E36" s="135">
        <v>107000</v>
      </c>
      <c r="F36" s="290">
        <v>28.2</v>
      </c>
      <c r="G36" s="172" t="s">
        <v>233</v>
      </c>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row>
    <row r="37" spans="1:252" s="9" customFormat="1" x14ac:dyDescent="0.25">
      <c r="A37"/>
      <c r="B37" s="119"/>
      <c r="C37" s="261" t="s">
        <v>392</v>
      </c>
      <c r="D37" s="178">
        <v>1</v>
      </c>
      <c r="E37" s="135">
        <v>107000</v>
      </c>
      <c r="F37" s="290">
        <v>28.2</v>
      </c>
      <c r="G37" s="172" t="s">
        <v>233</v>
      </c>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row>
    <row r="38" spans="1:252" x14ac:dyDescent="0.25">
      <c r="B38" s="119"/>
      <c r="C38" s="261" t="s">
        <v>413</v>
      </c>
      <c r="D38" s="178">
        <v>1</v>
      </c>
      <c r="E38" s="135">
        <v>107000</v>
      </c>
      <c r="F38" s="290">
        <v>28.2</v>
      </c>
      <c r="G38" s="172" t="s">
        <v>234</v>
      </c>
      <c r="H38"/>
      <c r="I38"/>
    </row>
    <row r="39" spans="1:252" x14ac:dyDescent="0.25">
      <c r="B39" s="119"/>
      <c r="C39" s="261" t="s">
        <v>414</v>
      </c>
      <c r="D39" s="178">
        <v>1</v>
      </c>
      <c r="E39" s="135">
        <v>80700</v>
      </c>
      <c r="F39" s="290">
        <v>28</v>
      </c>
      <c r="G39" s="172" t="s">
        <v>234</v>
      </c>
      <c r="H39"/>
      <c r="I39"/>
    </row>
    <row r="40" spans="1:252" x14ac:dyDescent="0.25">
      <c r="B40" s="119"/>
      <c r="C40" s="261" t="s">
        <v>415</v>
      </c>
      <c r="D40" s="178">
        <v>1</v>
      </c>
      <c r="E40" s="135">
        <v>44400</v>
      </c>
      <c r="F40" s="290">
        <v>38.700000000000003</v>
      </c>
      <c r="G40" s="172" t="s">
        <v>234</v>
      </c>
      <c r="H40"/>
      <c r="I40"/>
    </row>
    <row r="41" spans="1:252" x14ac:dyDescent="0.25">
      <c r="B41" s="119"/>
      <c r="C41" s="261" t="s">
        <v>416</v>
      </c>
      <c r="D41" s="178">
        <v>1</v>
      </c>
      <c r="E41" s="135">
        <v>44400</v>
      </c>
      <c r="F41" s="290">
        <v>38.700000000000003</v>
      </c>
      <c r="G41" s="172" t="s">
        <v>234</v>
      </c>
      <c r="H41"/>
      <c r="I41"/>
    </row>
    <row r="42" spans="1:252" x14ac:dyDescent="0.25">
      <c r="B42" s="119"/>
      <c r="C42" s="261" t="s">
        <v>417</v>
      </c>
      <c r="D42" s="178">
        <v>1</v>
      </c>
      <c r="E42" s="135">
        <v>260000</v>
      </c>
      <c r="F42" s="290">
        <v>2.4700000000000002</v>
      </c>
      <c r="G42" s="172" t="s">
        <v>234</v>
      </c>
      <c r="H42"/>
      <c r="I42"/>
    </row>
    <row r="43" spans="1:252" x14ac:dyDescent="0.25">
      <c r="B43" s="119"/>
      <c r="C43" s="261" t="s">
        <v>418</v>
      </c>
      <c r="D43" s="178">
        <v>1</v>
      </c>
      <c r="E43" s="135">
        <v>182000</v>
      </c>
      <c r="F43" s="290">
        <v>7.06</v>
      </c>
      <c r="G43" s="172" t="s">
        <v>234</v>
      </c>
      <c r="H43"/>
      <c r="I43"/>
    </row>
    <row r="44" spans="1:252" s="9" customFormat="1" x14ac:dyDescent="0.25">
      <c r="A44"/>
      <c r="B44" s="119" t="s">
        <v>36</v>
      </c>
      <c r="C44" s="261" t="s">
        <v>393</v>
      </c>
      <c r="D44" s="178">
        <v>1</v>
      </c>
      <c r="E44" s="135">
        <v>56100</v>
      </c>
      <c r="F44" s="290">
        <v>48</v>
      </c>
      <c r="G44" s="172" t="s">
        <v>233</v>
      </c>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row>
    <row r="45" spans="1:252" x14ac:dyDescent="0.25">
      <c r="B45" s="119" t="s">
        <v>37</v>
      </c>
      <c r="C45" s="261" t="s">
        <v>426</v>
      </c>
      <c r="D45" s="178">
        <v>1</v>
      </c>
      <c r="E45" s="135">
        <v>91700</v>
      </c>
      <c r="F45" s="290">
        <v>10</v>
      </c>
      <c r="G45" s="172" t="s">
        <v>233</v>
      </c>
      <c r="H45"/>
      <c r="I45"/>
    </row>
    <row r="46" spans="1:252" x14ac:dyDescent="0.25">
      <c r="B46" s="119"/>
      <c r="C46" s="261" t="s">
        <v>419</v>
      </c>
      <c r="D46" s="178">
        <v>1</v>
      </c>
      <c r="E46" s="135">
        <v>143000</v>
      </c>
      <c r="F46" s="291" t="s">
        <v>46</v>
      </c>
      <c r="G46" s="172" t="s">
        <v>234</v>
      </c>
      <c r="H46"/>
      <c r="I46"/>
    </row>
    <row r="47" spans="1:252" x14ac:dyDescent="0.25">
      <c r="B47" s="119"/>
      <c r="C47" s="261" t="s">
        <v>420</v>
      </c>
      <c r="D47" s="178">
        <v>1</v>
      </c>
      <c r="E47" s="135">
        <v>73300</v>
      </c>
      <c r="F47" s="290">
        <v>40.200000000000003</v>
      </c>
      <c r="G47" s="172" t="s">
        <v>233</v>
      </c>
      <c r="H47"/>
      <c r="I47"/>
    </row>
    <row r="48" spans="1:252" x14ac:dyDescent="0.25">
      <c r="B48" s="119" t="s">
        <v>38</v>
      </c>
      <c r="C48" s="261" t="s">
        <v>394</v>
      </c>
      <c r="D48" s="178">
        <v>2</v>
      </c>
      <c r="E48" s="135">
        <v>112000</v>
      </c>
      <c r="F48" s="290">
        <v>15.6</v>
      </c>
      <c r="G48" s="172" t="s">
        <v>233</v>
      </c>
      <c r="H48"/>
      <c r="I48"/>
    </row>
    <row r="49" spans="1:252" x14ac:dyDescent="0.25">
      <c r="B49" s="119"/>
      <c r="C49" s="261" t="s">
        <v>613</v>
      </c>
      <c r="D49" s="178">
        <v>2</v>
      </c>
      <c r="E49" s="135">
        <v>95300</v>
      </c>
      <c r="F49" s="290">
        <v>11.8</v>
      </c>
      <c r="G49" s="172" t="s">
        <v>234</v>
      </c>
      <c r="H49"/>
      <c r="I49"/>
    </row>
    <row r="50" spans="1:252" x14ac:dyDescent="0.25">
      <c r="B50" s="119"/>
      <c r="C50" s="261" t="s">
        <v>421</v>
      </c>
      <c r="D50" s="178">
        <v>2</v>
      </c>
      <c r="E50" s="135">
        <v>100000</v>
      </c>
      <c r="F50" s="290">
        <v>11.6</v>
      </c>
      <c r="G50" s="172" t="s">
        <v>234</v>
      </c>
      <c r="H50"/>
      <c r="I50"/>
    </row>
    <row r="51" spans="1:252" x14ac:dyDescent="0.25">
      <c r="B51" s="119"/>
      <c r="C51" s="261" t="s">
        <v>30</v>
      </c>
      <c r="D51" s="178">
        <v>2</v>
      </c>
      <c r="E51" s="135">
        <v>112000</v>
      </c>
      <c r="F51" s="290">
        <v>29.5</v>
      </c>
      <c r="G51" s="172" t="s">
        <v>233</v>
      </c>
      <c r="H51"/>
      <c r="I51"/>
    </row>
    <row r="52" spans="1:252" x14ac:dyDescent="0.25">
      <c r="B52" s="119"/>
      <c r="C52" s="261" t="s">
        <v>31</v>
      </c>
      <c r="D52" s="178">
        <v>2</v>
      </c>
      <c r="E52" s="135">
        <v>70800</v>
      </c>
      <c r="F52" s="290">
        <v>27</v>
      </c>
      <c r="G52" s="172" t="s">
        <v>234</v>
      </c>
      <c r="H52"/>
      <c r="I52"/>
    </row>
    <row r="53" spans="1:252" x14ac:dyDescent="0.25">
      <c r="B53" s="119"/>
      <c r="C53" s="261" t="s">
        <v>32</v>
      </c>
      <c r="D53" s="178">
        <v>2</v>
      </c>
      <c r="E53" s="135">
        <v>70800</v>
      </c>
      <c r="F53" s="290">
        <v>27</v>
      </c>
      <c r="G53" s="172" t="s">
        <v>234</v>
      </c>
      <c r="H53"/>
      <c r="I53"/>
    </row>
    <row r="54" spans="1:252" x14ac:dyDescent="0.25">
      <c r="B54" s="119"/>
      <c r="C54" s="261" t="s">
        <v>422</v>
      </c>
      <c r="D54" s="178">
        <v>2</v>
      </c>
      <c r="E54" s="135">
        <v>79600</v>
      </c>
      <c r="F54" s="290">
        <v>27.4</v>
      </c>
      <c r="G54" s="172" t="s">
        <v>234</v>
      </c>
      <c r="H54"/>
      <c r="I54"/>
    </row>
    <row r="55" spans="1:252" s="9" customFormat="1" x14ac:dyDescent="0.25">
      <c r="A55"/>
      <c r="B55" s="119"/>
      <c r="C55" s="261" t="s">
        <v>395</v>
      </c>
      <c r="D55" s="178">
        <v>2</v>
      </c>
      <c r="E55" s="135">
        <v>54600</v>
      </c>
      <c r="F55" s="290">
        <v>50.4</v>
      </c>
      <c r="G55" s="172" t="s">
        <v>233</v>
      </c>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row>
    <row r="56" spans="1:252" x14ac:dyDescent="0.25">
      <c r="B56" s="119"/>
      <c r="C56" s="261" t="s">
        <v>423</v>
      </c>
      <c r="D56" s="178">
        <v>2</v>
      </c>
      <c r="E56" s="135">
        <v>54600</v>
      </c>
      <c r="F56" s="290">
        <v>50.4</v>
      </c>
      <c r="G56" s="172" t="s">
        <v>234</v>
      </c>
      <c r="H56"/>
      <c r="I56"/>
    </row>
    <row r="57" spans="1:252" x14ac:dyDescent="0.25">
      <c r="B57" s="119"/>
      <c r="C57" s="261" t="s">
        <v>424</v>
      </c>
      <c r="D57" s="178">
        <v>2</v>
      </c>
      <c r="E57" s="135">
        <v>54600</v>
      </c>
      <c r="F57" s="290">
        <v>50.4</v>
      </c>
      <c r="G57" s="172" t="s">
        <v>234</v>
      </c>
      <c r="H57"/>
      <c r="I57"/>
    </row>
    <row r="58" spans="1:252" x14ac:dyDescent="0.25">
      <c r="B58" s="119"/>
      <c r="C58" s="261" t="s">
        <v>427</v>
      </c>
      <c r="D58" s="178">
        <v>2</v>
      </c>
      <c r="E58" s="135">
        <v>100000</v>
      </c>
      <c r="F58" s="290">
        <v>11.6</v>
      </c>
      <c r="G58" s="172" t="s">
        <v>233</v>
      </c>
      <c r="H58"/>
      <c r="I58"/>
    </row>
    <row r="59" spans="1:252" ht="13.8" thickBot="1" x14ac:dyDescent="0.3">
      <c r="B59" s="120"/>
      <c r="C59" s="262" t="s">
        <v>33</v>
      </c>
      <c r="D59" s="179">
        <v>2</v>
      </c>
      <c r="E59" s="277">
        <v>106000</v>
      </c>
      <c r="F59" s="292">
        <v>9.76</v>
      </c>
      <c r="G59" s="173" t="s">
        <v>234</v>
      </c>
      <c r="H59"/>
      <c r="I59"/>
    </row>
    <row r="60" spans="1:252" x14ac:dyDescent="0.25">
      <c r="B60" s="132" t="s">
        <v>235</v>
      </c>
    </row>
    <row r="61" spans="1:252" ht="13.8" thickBot="1" x14ac:dyDescent="0.3"/>
    <row r="62" spans="1:252" ht="17.25" customHeight="1" thickBot="1" x14ac:dyDescent="0.3">
      <c r="B62" s="265" t="s">
        <v>690</v>
      </c>
      <c r="C62" s="266"/>
      <c r="D62" s="272"/>
      <c r="E62" s="272"/>
      <c r="F62" s="293"/>
    </row>
    <row r="63" spans="1:252" ht="10.5" customHeight="1" x14ac:dyDescent="0.25">
      <c r="B63"/>
      <c r="C63"/>
      <c r="D63" s="118"/>
      <c r="E63" s="118"/>
      <c r="F63" s="136"/>
      <c r="G63"/>
      <c r="H63"/>
      <c r="I63"/>
    </row>
    <row r="64" spans="1:252" ht="13.8" thickBot="1" x14ac:dyDescent="0.3">
      <c r="B64" s="47" t="s">
        <v>72</v>
      </c>
    </row>
    <row r="65" spans="2:9" ht="72.75" customHeight="1" thickBot="1" x14ac:dyDescent="0.3">
      <c r="B65" s="154" t="s">
        <v>43</v>
      </c>
      <c r="C65" s="154" t="s">
        <v>58</v>
      </c>
      <c r="D65" s="273" t="s">
        <v>103</v>
      </c>
      <c r="E65" s="280" t="s">
        <v>61</v>
      </c>
      <c r="F65" s="136"/>
      <c r="G65"/>
    </row>
    <row r="66" spans="2:9" ht="13.8" thickBot="1" x14ac:dyDescent="0.3">
      <c r="B66" s="677" t="s">
        <v>692</v>
      </c>
      <c r="C66" s="155" t="s">
        <v>48</v>
      </c>
      <c r="D66" s="274" t="s">
        <v>53</v>
      </c>
      <c r="E66" s="274">
        <v>1E-3</v>
      </c>
      <c r="F66" s="136"/>
      <c r="G66"/>
    </row>
    <row r="67" spans="2:9" ht="13.8" thickBot="1" x14ac:dyDescent="0.3">
      <c r="B67" s="678"/>
      <c r="C67" s="155" t="s">
        <v>49</v>
      </c>
      <c r="D67" s="274" t="s">
        <v>54</v>
      </c>
      <c r="E67" s="274">
        <v>9.9999999999999995E-7</v>
      </c>
      <c r="F67" s="136"/>
      <c r="G67"/>
    </row>
    <row r="68" spans="2:9" ht="13.5" customHeight="1" thickBot="1" x14ac:dyDescent="0.3">
      <c r="B68" s="678"/>
      <c r="C68" s="155" t="s">
        <v>50</v>
      </c>
      <c r="D68" s="274" t="s">
        <v>55</v>
      </c>
      <c r="E68" s="274">
        <v>1.0000000000000001E-9</v>
      </c>
      <c r="F68" s="136"/>
      <c r="G68"/>
    </row>
    <row r="69" spans="2:9" ht="13.8" thickBot="1" x14ac:dyDescent="0.3">
      <c r="B69" s="678"/>
      <c r="C69" s="155" t="s">
        <v>51</v>
      </c>
      <c r="D69" s="275" t="s">
        <v>56</v>
      </c>
      <c r="E69" s="274">
        <v>3.5997120230381567E-9</v>
      </c>
      <c r="F69" s="136"/>
      <c r="G69"/>
    </row>
    <row r="70" spans="2:9" ht="13.8" thickBot="1" x14ac:dyDescent="0.3">
      <c r="B70" s="678"/>
      <c r="C70" s="155" t="s">
        <v>82</v>
      </c>
      <c r="D70" s="275" t="s">
        <v>57</v>
      </c>
      <c r="E70" s="281">
        <v>1.0551000000000001E-6</v>
      </c>
      <c r="F70" s="136"/>
      <c r="G70"/>
    </row>
    <row r="71" spans="2:9" ht="13.8" thickBot="1" x14ac:dyDescent="0.3">
      <c r="B71" s="679"/>
      <c r="C71" s="155" t="s">
        <v>52</v>
      </c>
      <c r="D71" s="275" t="s">
        <v>404</v>
      </c>
      <c r="E71" s="281">
        <v>1.0550749103186325E-7</v>
      </c>
      <c r="F71" s="136"/>
      <c r="G71"/>
    </row>
    <row r="72" spans="2:9" ht="13.8" thickBot="1" x14ac:dyDescent="0.3">
      <c r="C72" s="267" t="s">
        <v>98</v>
      </c>
      <c r="E72" s="282"/>
      <c r="F72" s="136"/>
      <c r="G72"/>
    </row>
    <row r="73" spans="2:9" x14ac:dyDescent="0.25">
      <c r="E73" s="282"/>
      <c r="F73" s="136"/>
      <c r="G73"/>
    </row>
    <row r="74" spans="2:9" ht="19.5" customHeight="1" thickBot="1" x14ac:dyDescent="0.3">
      <c r="B74" s="47" t="s">
        <v>619</v>
      </c>
      <c r="F74" s="136"/>
      <c r="G74"/>
      <c r="H74" s="118"/>
      <c r="I74" s="118"/>
    </row>
    <row r="75" spans="2:9" ht="85.5" customHeight="1" thickBot="1" x14ac:dyDescent="0.3">
      <c r="B75" s="156" t="s">
        <v>59</v>
      </c>
      <c r="C75" s="156" t="s">
        <v>58</v>
      </c>
      <c r="D75" s="255"/>
      <c r="E75" s="255" t="s">
        <v>689</v>
      </c>
      <c r="F75" s="136"/>
      <c r="G75"/>
      <c r="H75" s="118"/>
      <c r="I75" s="118"/>
    </row>
    <row r="76" spans="2:9" x14ac:dyDescent="0.25">
      <c r="B76" s="677" t="s">
        <v>691</v>
      </c>
      <c r="C76" s="150" t="s">
        <v>85</v>
      </c>
      <c r="D76" s="271"/>
      <c r="E76" s="283">
        <v>9.9999999999999995E-7</v>
      </c>
      <c r="F76" s="136"/>
      <c r="G76"/>
      <c r="H76" s="118"/>
      <c r="I76" s="118"/>
    </row>
    <row r="77" spans="2:9" ht="12.75" customHeight="1" x14ac:dyDescent="0.25">
      <c r="B77" s="678"/>
      <c r="C77" s="119" t="s">
        <v>86</v>
      </c>
      <c r="D77" s="178"/>
      <c r="E77" s="284">
        <v>4.5351473922902485E-10</v>
      </c>
      <c r="F77" s="136"/>
      <c r="G77"/>
      <c r="H77" s="118"/>
      <c r="I77" s="118"/>
    </row>
    <row r="78" spans="2:9" ht="13.8" thickBot="1" x14ac:dyDescent="0.3">
      <c r="B78" s="679"/>
      <c r="C78" s="120" t="s">
        <v>60</v>
      </c>
      <c r="D78" s="179"/>
      <c r="E78" s="173">
        <v>9.9999999999999986E-10</v>
      </c>
      <c r="F78" s="136"/>
      <c r="G78"/>
      <c r="H78" s="118"/>
      <c r="I78" s="118"/>
    </row>
    <row r="79" spans="2:9" x14ac:dyDescent="0.25">
      <c r="H79" s="118"/>
      <c r="I79" s="118"/>
    </row>
    <row r="80" spans="2:9" ht="29.25" customHeight="1" x14ac:dyDescent="0.25">
      <c r="B80" s="665" t="s">
        <v>693</v>
      </c>
      <c r="C80" s="665"/>
      <c r="D80" s="665"/>
      <c r="E80" s="665"/>
      <c r="F80" s="665"/>
      <c r="G80" s="665"/>
      <c r="H80" s="118"/>
      <c r="I80" s="118"/>
    </row>
    <row r="81" spans="1:9" x14ac:dyDescent="0.25">
      <c r="A81" s="50"/>
      <c r="H81" s="118"/>
      <c r="I81" s="118"/>
    </row>
    <row r="82" spans="1:9" ht="13.8" thickBot="1" x14ac:dyDescent="0.3">
      <c r="B82" s="29" t="s">
        <v>620</v>
      </c>
      <c r="H82" s="118"/>
      <c r="I82" s="118"/>
    </row>
    <row r="83" spans="1:9" ht="60.75" customHeight="1" thickBot="1" x14ac:dyDescent="0.3">
      <c r="B83" s="270" t="s">
        <v>62</v>
      </c>
      <c r="C83" s="159" t="s">
        <v>68</v>
      </c>
      <c r="D83" s="276" t="s">
        <v>71</v>
      </c>
      <c r="E83" s="276" t="s">
        <v>70</v>
      </c>
      <c r="F83" s="294" t="s">
        <v>69</v>
      </c>
      <c r="G83" s="174" t="s">
        <v>508</v>
      </c>
      <c r="H83" s="118"/>
      <c r="I83" s="118"/>
    </row>
    <row r="84" spans="1:9" x14ac:dyDescent="0.25">
      <c r="B84" s="160" t="str">
        <f>C6</f>
        <v>Crude oil</v>
      </c>
      <c r="C84" s="132" t="s">
        <v>63</v>
      </c>
      <c r="D84" s="135">
        <f>VLOOKUP(B84,fuelInfo,3,FALSE)</f>
        <v>73300</v>
      </c>
      <c r="E84" s="135">
        <f>VLOOKUP(B84,fuelInfo,4,FALSE)</f>
        <v>42.3</v>
      </c>
      <c r="F84" s="287">
        <f>D84*E84</f>
        <v>3100590</v>
      </c>
      <c r="G84" s="172">
        <f>IF(((F84/1000000000)*(VLOOKUP(B84,Density_Config,2,FALSE))*158.99)=0,"",((F84/1000000000)*(VLOOKUP(B84,Density_Config,2,FALSE))*158.99))</f>
        <v>0.43058170851944461</v>
      </c>
      <c r="H84" s="118"/>
      <c r="I84" s="118"/>
    </row>
    <row r="85" spans="1:9" x14ac:dyDescent="0.25">
      <c r="B85" s="160" t="s">
        <v>80</v>
      </c>
      <c r="C85" s="132" t="s">
        <v>64</v>
      </c>
      <c r="G85" s="172">
        <f>IF((F84/1000000000)*(VLOOKUP(B84,Density_Config,2,FALSE)*3.785=0),"",((F84/1000000000)*(VLOOKUP(B84,Density_Config,2,FALSE))*3.785))</f>
        <v>1.0250655806944448E-2</v>
      </c>
      <c r="H85" s="118"/>
      <c r="I85" s="118"/>
    </row>
    <row r="86" spans="1:9" ht="13.8" thickBot="1" x14ac:dyDescent="0.3">
      <c r="B86" s="161"/>
      <c r="C86" s="152" t="s">
        <v>65</v>
      </c>
      <c r="D86" s="277"/>
      <c r="E86" s="277"/>
      <c r="F86" s="295"/>
      <c r="G86" s="173">
        <f>IF((F84/1000000000)*(VLOOKUP(B84,Density_Config,2,FALSE))=0,"",((F84/1000000000)*(VLOOKUP(B84,Density_Config,2,FALSE))))</f>
        <v>2.7082313888888896E-3</v>
      </c>
      <c r="H86" s="118"/>
      <c r="I86" s="118"/>
    </row>
    <row r="87" spans="1:9" ht="13.8" thickBot="1" x14ac:dyDescent="0.3">
      <c r="B87" s="29" t="s">
        <v>621</v>
      </c>
      <c r="H87" s="118"/>
      <c r="I87" s="118"/>
    </row>
    <row r="88" spans="1:9" ht="40.200000000000003" thickBot="1" x14ac:dyDescent="0.3">
      <c r="B88" s="158" t="s">
        <v>62</v>
      </c>
      <c r="C88" s="159" t="s">
        <v>68</v>
      </c>
      <c r="D88" s="276" t="s">
        <v>71</v>
      </c>
      <c r="E88" s="276" t="s">
        <v>70</v>
      </c>
      <c r="F88" s="294" t="s">
        <v>69</v>
      </c>
      <c r="G88" s="174" t="s">
        <v>508</v>
      </c>
      <c r="H88" s="118"/>
      <c r="I88" s="118"/>
    </row>
    <row r="89" spans="1:9" x14ac:dyDescent="0.25">
      <c r="B89" s="162" t="str">
        <f>C9</f>
        <v>Motor gasoline</v>
      </c>
      <c r="C89" s="163" t="s">
        <v>63</v>
      </c>
      <c r="D89" s="181">
        <f>VLOOKUP(B89,fuelInfo,3,FALSE)</f>
        <v>69300</v>
      </c>
      <c r="E89" s="181">
        <f>VLOOKUP(B89,fuelInfo,4,FALSE)</f>
        <v>44.3</v>
      </c>
      <c r="F89" s="296">
        <f>D89*E89</f>
        <v>3069990</v>
      </c>
      <c r="G89" s="172">
        <f>IF(((F89/1000000000)*(VLOOKUP(B89,Density_Config,2,FALSE))*158.99)=0,"",((F89/1000000000)*(VLOOKUP(B89,Density_Config,2,FALSE))*158.99))</f>
        <v>0.36380000458563522</v>
      </c>
      <c r="H89" s="118"/>
      <c r="I89" s="118"/>
    </row>
    <row r="90" spans="1:9" x14ac:dyDescent="0.25">
      <c r="B90" s="160" t="s">
        <v>73</v>
      </c>
      <c r="C90" s="132" t="s">
        <v>64</v>
      </c>
      <c r="G90" s="172">
        <f>IF((F89/1000000000)*(VLOOKUP(B89,Density_Config,2,FALSE)*3.785=0),"",((F89/1000000000)*(VLOOKUP(B89,Density_Config,2,FALSE))*3.785))</f>
        <v>8.6608152547746984E-3</v>
      </c>
      <c r="H90" s="118"/>
      <c r="I90" s="118"/>
    </row>
    <row r="91" spans="1:9" ht="13.8" thickBot="1" x14ac:dyDescent="0.3">
      <c r="B91" s="161"/>
      <c r="C91" s="152" t="s">
        <v>65</v>
      </c>
      <c r="D91" s="277"/>
      <c r="E91" s="277"/>
      <c r="F91" s="295"/>
      <c r="G91" s="173">
        <f>IF((F89/1000000000)*(VLOOKUP(B89,Density_Config,2,FALSE))=0,"",((F89/1000000000)*(VLOOKUP(B89,Density_Config,2,FALSE))))</f>
        <v>2.2881942548942397E-3</v>
      </c>
      <c r="H91" s="118"/>
      <c r="I91" s="118"/>
    </row>
    <row r="92" spans="1:9" ht="13.8" thickBot="1" x14ac:dyDescent="0.3">
      <c r="B92" s="29" t="s">
        <v>622</v>
      </c>
      <c r="H92" s="118"/>
      <c r="I92" s="118"/>
    </row>
    <row r="93" spans="1:9" ht="40.200000000000003" thickBot="1" x14ac:dyDescent="0.3">
      <c r="B93" s="158" t="s">
        <v>62</v>
      </c>
      <c r="C93" s="159" t="s">
        <v>68</v>
      </c>
      <c r="D93" s="276" t="s">
        <v>71</v>
      </c>
      <c r="E93" s="276" t="s">
        <v>70</v>
      </c>
      <c r="F93" s="294" t="s">
        <v>69</v>
      </c>
      <c r="G93" s="174" t="s">
        <v>508</v>
      </c>
      <c r="H93" s="118"/>
      <c r="I93" s="118"/>
    </row>
    <row r="94" spans="1:9" x14ac:dyDescent="0.25">
      <c r="B94" s="162" t="str">
        <f>C10</f>
        <v>Aviation gasoline</v>
      </c>
      <c r="C94" s="163" t="s">
        <v>63</v>
      </c>
      <c r="D94" s="181">
        <f>VLOOKUP(B94,fuelInfo,3,FALSE)</f>
        <v>70000</v>
      </c>
      <c r="E94" s="181">
        <f>VLOOKUP(B94,fuelInfo,4,FALSE)</f>
        <v>44.3</v>
      </c>
      <c r="F94" s="296">
        <f>D94*E94</f>
        <v>3101000</v>
      </c>
      <c r="G94" s="172">
        <f>IF(((F94/1000000000)*(VLOOKUP(B94,Density_Config,2,FALSE))*158.99)=0,"",((F94/1000000000)*(VLOOKUP(B94,Density_Config,2,FALSE))*158.99))</f>
        <v>0.34731791113209193</v>
      </c>
      <c r="H94" s="118"/>
      <c r="I94" s="118"/>
    </row>
    <row r="95" spans="1:9" x14ac:dyDescent="0.25">
      <c r="B95" s="160" t="s">
        <v>76</v>
      </c>
      <c r="C95" s="132" t="s">
        <v>64</v>
      </c>
      <c r="G95" s="172">
        <f>IF((F94/1000000000)*(VLOOKUP(B94,Density_Config,2,FALSE)*3.785=0),"",((F94/1000000000)*(VLOOKUP(B94,Density_Config,2,FALSE))*3.785))</f>
        <v>8.2684338237308513E-3</v>
      </c>
      <c r="H95" s="118"/>
      <c r="I95" s="118"/>
    </row>
    <row r="96" spans="1:9" ht="13.8" thickBot="1" x14ac:dyDescent="0.3">
      <c r="B96" s="161"/>
      <c r="C96" s="152" t="s">
        <v>65</v>
      </c>
      <c r="D96" s="277"/>
      <c r="E96" s="277"/>
      <c r="F96" s="295"/>
      <c r="G96" s="173">
        <f>IF((F94/1000000000)*(VLOOKUP(B94,Density_Config,2,FALSE))=0,"",((F94/1000000000)*(VLOOKUP(B94,Density_Config,2,FALSE))))</f>
        <v>2.18452676981E-3</v>
      </c>
      <c r="H96" s="118"/>
      <c r="I96" s="118"/>
    </row>
    <row r="97" spans="2:9" ht="13.8" thickBot="1" x14ac:dyDescent="0.3">
      <c r="B97" s="29" t="s">
        <v>623</v>
      </c>
      <c r="H97" s="118"/>
      <c r="I97" s="118"/>
    </row>
    <row r="98" spans="2:9" ht="40.200000000000003" thickBot="1" x14ac:dyDescent="0.3">
      <c r="B98" s="158" t="s">
        <v>62</v>
      </c>
      <c r="C98" s="159" t="s">
        <v>68</v>
      </c>
      <c r="D98" s="276" t="s">
        <v>71</v>
      </c>
      <c r="E98" s="276" t="s">
        <v>70</v>
      </c>
      <c r="F98" s="294" t="s">
        <v>69</v>
      </c>
      <c r="G98" s="174" t="s">
        <v>508</v>
      </c>
      <c r="H98" s="118"/>
      <c r="I98" s="118"/>
    </row>
    <row r="99" spans="2:9" x14ac:dyDescent="0.25">
      <c r="B99" s="162" t="str">
        <f>C12</f>
        <v>Jet kerosene</v>
      </c>
      <c r="C99" s="163" t="s">
        <v>63</v>
      </c>
      <c r="D99" s="181">
        <f>VLOOKUP(B99,fuelInfo,3,FALSE)</f>
        <v>71500</v>
      </c>
      <c r="E99" s="181">
        <f>VLOOKUP(B99,fuelInfo,4,FALSE)</f>
        <v>44.1</v>
      </c>
      <c r="F99" s="296">
        <f>D99*E99</f>
        <v>3153150</v>
      </c>
      <c r="G99" s="172">
        <f>IF(((F99/1000000000)*(VLOOKUP(B99,Density_Config,2,FALSE))*158.99)=0,"",((F99/1000000000)*(VLOOKUP(B99,Density_Config,2,FALSE))*158.99))</f>
        <v>0.40885696580835734</v>
      </c>
      <c r="H99" s="118"/>
      <c r="I99" s="118"/>
    </row>
    <row r="100" spans="2:9" x14ac:dyDescent="0.25">
      <c r="B100" s="160" t="s">
        <v>77</v>
      </c>
      <c r="C100" s="132" t="s">
        <v>64</v>
      </c>
      <c r="G100" s="172">
        <f>IF((F99/1000000000)*(VLOOKUP(B99,Density_Config,2,FALSE)*3.785=0),"",((F99/1000000000)*(VLOOKUP(B99,Density_Config,2,FALSE))*3.785))</f>
        <v>9.733465095821325E-3</v>
      </c>
      <c r="H100" s="118"/>
      <c r="I100" s="118"/>
    </row>
    <row r="101" spans="2:9" ht="13.8" thickBot="1" x14ac:dyDescent="0.3">
      <c r="B101" s="161"/>
      <c r="C101" s="152" t="s">
        <v>65</v>
      </c>
      <c r="D101" s="277"/>
      <c r="E101" s="277"/>
      <c r="F101" s="295"/>
      <c r="G101" s="173">
        <f>IF((F99/1000000000)*(VLOOKUP(B99,Density_Config,2,FALSE))=0,"",((F99/1000000000)*(VLOOKUP(B99,Density_Config,2,FALSE))))</f>
        <v>2.5715891930835734E-3</v>
      </c>
      <c r="H101" s="118"/>
      <c r="I101" s="118"/>
    </row>
    <row r="102" spans="2:9" ht="13.8" thickBot="1" x14ac:dyDescent="0.3">
      <c r="B102" s="29" t="s">
        <v>624</v>
      </c>
      <c r="H102" s="118"/>
      <c r="I102" s="118"/>
    </row>
    <row r="103" spans="2:9" ht="40.200000000000003" thickBot="1" x14ac:dyDescent="0.3">
      <c r="B103" s="158" t="s">
        <v>62</v>
      </c>
      <c r="C103" s="159" t="s">
        <v>68</v>
      </c>
      <c r="D103" s="276" t="s">
        <v>71</v>
      </c>
      <c r="E103" s="276" t="s">
        <v>70</v>
      </c>
      <c r="F103" s="294" t="s">
        <v>69</v>
      </c>
      <c r="G103" s="174" t="s">
        <v>508</v>
      </c>
      <c r="H103" s="118"/>
      <c r="I103" s="118"/>
    </row>
    <row r="104" spans="2:9" x14ac:dyDescent="0.25">
      <c r="B104" s="162" t="str">
        <f>C13</f>
        <v>Other kerosene</v>
      </c>
      <c r="C104" s="163" t="s">
        <v>63</v>
      </c>
      <c r="D104" s="181">
        <f>VLOOKUP(B104,fuelInfo,3,FALSE)</f>
        <v>71900</v>
      </c>
      <c r="E104" s="181">
        <f>VLOOKUP(B104,fuelInfo,4,FALSE)</f>
        <v>43.8</v>
      </c>
      <c r="F104" s="296">
        <f>D104*E104</f>
        <v>3149220</v>
      </c>
      <c r="G104" s="172">
        <f>IF(((F104/1000000000)*(VLOOKUP(B104,Density_Config,2,FALSE))*158.99)=0,"",((F104/1000000000)*(VLOOKUP(B104,Density_Config,2,FALSE))*158.99))</f>
        <v>0.42474982028597125</v>
      </c>
      <c r="H104" s="118"/>
      <c r="I104" s="118"/>
    </row>
    <row r="105" spans="2:9" x14ac:dyDescent="0.25">
      <c r="B105" s="160" t="s">
        <v>78</v>
      </c>
      <c r="C105" s="132" t="s">
        <v>64</v>
      </c>
      <c r="G105" s="172">
        <f>((F104/1000000000)*(VLOOKUP(B104,Density_Config,2,FALSE))*3.785)</f>
        <v>1.0111818792266187E-2</v>
      </c>
      <c r="H105" s="118"/>
      <c r="I105" s="118"/>
    </row>
    <row r="106" spans="2:9" ht="13.8" thickBot="1" x14ac:dyDescent="0.3">
      <c r="B106" s="161"/>
      <c r="C106" s="152" t="s">
        <v>65</v>
      </c>
      <c r="D106" s="277"/>
      <c r="E106" s="277"/>
      <c r="F106" s="295"/>
      <c r="G106" s="173">
        <f>IF((F104/1000000000)*(VLOOKUP(B104,Density_Config,2,FALSE))=0,"",((F104/1000000000)*(VLOOKUP(B104,Density_Config,2,FALSE))))</f>
        <v>2.6715505395683453E-3</v>
      </c>
      <c r="H106" s="118"/>
      <c r="I106" s="118"/>
    </row>
    <row r="107" spans="2:9" ht="13.8" thickBot="1" x14ac:dyDescent="0.3">
      <c r="B107" s="29" t="s">
        <v>625</v>
      </c>
      <c r="H107" s="118"/>
      <c r="I107" s="118"/>
    </row>
    <row r="108" spans="2:9" ht="40.200000000000003" thickBot="1" x14ac:dyDescent="0.3">
      <c r="B108" s="158" t="s">
        <v>62</v>
      </c>
      <c r="C108" s="159" t="s">
        <v>68</v>
      </c>
      <c r="D108" s="276" t="s">
        <v>71</v>
      </c>
      <c r="E108" s="276" t="s">
        <v>70</v>
      </c>
      <c r="F108" s="294" t="s">
        <v>69</v>
      </c>
      <c r="G108" s="174" t="s">
        <v>508</v>
      </c>
      <c r="H108" s="118"/>
      <c r="I108" s="118"/>
    </row>
    <row r="109" spans="2:9" x14ac:dyDescent="0.25">
      <c r="B109" s="162" t="str">
        <f>C14</f>
        <v>Shale oil</v>
      </c>
      <c r="C109" s="163" t="s">
        <v>63</v>
      </c>
      <c r="D109" s="181">
        <f>VLOOKUP(B109,fuelInfo,3,FALSE)</f>
        <v>73300</v>
      </c>
      <c r="E109" s="181">
        <f>VLOOKUP(B109,fuelInfo,4,FALSE)</f>
        <v>38.1</v>
      </c>
      <c r="F109" s="296">
        <f>D109*E109</f>
        <v>2792730</v>
      </c>
      <c r="G109" s="172" t="str">
        <f>IF(((F109/1000000000)*(VLOOKUP(B109,Density_Config,2,FALSE))*158.99)=0,"",((F109/1000000000)*(VLOOKUP(B109,Density_Config,2,FALSE))*158.99))</f>
        <v/>
      </c>
      <c r="H109" s="118"/>
      <c r="I109" s="118"/>
    </row>
    <row r="110" spans="2:9" x14ac:dyDescent="0.25">
      <c r="B110" s="160" t="s">
        <v>79</v>
      </c>
      <c r="C110" s="132" t="s">
        <v>64</v>
      </c>
      <c r="G110" s="172" t="str">
        <f>IF((F109/1000000000)*(VLOOKUP(B109,Density_Config,2,FALSE)*3.785=0),"",((F109/1000000000)*(VLOOKUP(B109,Density_Config,2,FALSE))*3.785))</f>
        <v/>
      </c>
      <c r="H110" s="118"/>
      <c r="I110" s="118"/>
    </row>
    <row r="111" spans="2:9" ht="13.8" thickBot="1" x14ac:dyDescent="0.3">
      <c r="B111" s="161"/>
      <c r="C111" s="152" t="s">
        <v>65</v>
      </c>
      <c r="D111" s="277"/>
      <c r="E111" s="277"/>
      <c r="F111" s="295"/>
      <c r="G111" s="173" t="str">
        <f>IF((F109/1000000000)*(VLOOKUP(B109,Density_Config,2,FALSE))=0,"",((F109/1000000000)*(VLOOKUP(B109,Density_Config,2,FALSE))))</f>
        <v/>
      </c>
      <c r="H111" s="118"/>
      <c r="I111" s="118"/>
    </row>
    <row r="112" spans="2:9" ht="13.8" thickBot="1" x14ac:dyDescent="0.3">
      <c r="B112" s="29" t="s">
        <v>626</v>
      </c>
      <c r="H112" s="118"/>
      <c r="I112" s="118"/>
    </row>
    <row r="113" spans="2:9" ht="40.200000000000003" thickBot="1" x14ac:dyDescent="0.3">
      <c r="B113" s="158" t="s">
        <v>62</v>
      </c>
      <c r="C113" s="159" t="s">
        <v>68</v>
      </c>
      <c r="D113" s="276" t="s">
        <v>71</v>
      </c>
      <c r="E113" s="276" t="s">
        <v>70</v>
      </c>
      <c r="F113" s="294" t="s">
        <v>69</v>
      </c>
      <c r="G113" s="174" t="s">
        <v>508</v>
      </c>
      <c r="H113" s="118"/>
      <c r="I113" s="118"/>
    </row>
    <row r="114" spans="2:9" x14ac:dyDescent="0.25">
      <c r="B114" s="162" t="str">
        <f>C15</f>
        <v>Gas/Diesel oil</v>
      </c>
      <c r="C114" s="163" t="s">
        <v>63</v>
      </c>
      <c r="D114" s="181">
        <f>VLOOKUP(B114,fuelInfo,3,FALSE)</f>
        <v>74100</v>
      </c>
      <c r="E114" s="181">
        <f>VLOOKUP(B114,fuelInfo,4,FALSE)</f>
        <v>43</v>
      </c>
      <c r="F114" s="296">
        <f>D114*E114</f>
        <v>3186300</v>
      </c>
      <c r="G114" s="172">
        <f>IF(((F114/1000000000)*(VLOOKUP(B114,Density_Config,2,FALSE))*158.99)=0,"",((F114/1000000000)*(VLOOKUP(B114,Density_Config,2,FALSE))*158.99))</f>
        <v>0.46265863178843464</v>
      </c>
      <c r="H114" s="118"/>
      <c r="I114" s="118"/>
    </row>
    <row r="115" spans="2:9" x14ac:dyDescent="0.25">
      <c r="B115" s="160"/>
      <c r="C115" s="132" t="s">
        <v>64</v>
      </c>
      <c r="G115" s="172">
        <f>IF((F114/1000000000)*(VLOOKUP(B114,Density_Config,2,FALSE)*3.785=0),"",((F114/1000000000)*(VLOOKUP(B114,Density_Config,2,FALSE))*3.785))</f>
        <v>1.1014296001756243E-2</v>
      </c>
      <c r="H115" s="118"/>
      <c r="I115" s="118"/>
    </row>
    <row r="116" spans="2:9" ht="13.8" thickBot="1" x14ac:dyDescent="0.3">
      <c r="B116" s="161"/>
      <c r="C116" s="152" t="s">
        <v>65</v>
      </c>
      <c r="D116" s="277"/>
      <c r="E116" s="277"/>
      <c r="F116" s="295"/>
      <c r="G116" s="173">
        <f>IF((F114/1000000000)*(VLOOKUP(B114,Density_Config,2,FALSE))=0,"",((F114/1000000000)*(VLOOKUP(B114,Density_Config,2,FALSE))))</f>
        <v>2.9099857336212002E-3</v>
      </c>
      <c r="H116" s="118"/>
      <c r="I116" s="118"/>
    </row>
    <row r="117" spans="2:9" ht="13.8" thickBot="1" x14ac:dyDescent="0.3">
      <c r="B117" s="29" t="s">
        <v>627</v>
      </c>
      <c r="H117" s="118"/>
      <c r="I117" s="118"/>
    </row>
    <row r="118" spans="2:9" ht="40.200000000000003" thickBot="1" x14ac:dyDescent="0.3">
      <c r="B118" s="158" t="s">
        <v>62</v>
      </c>
      <c r="C118" s="159" t="s">
        <v>68</v>
      </c>
      <c r="D118" s="276" t="s">
        <v>71</v>
      </c>
      <c r="E118" s="276" t="s">
        <v>70</v>
      </c>
      <c r="F118" s="294" t="s">
        <v>69</v>
      </c>
      <c r="G118" s="174" t="s">
        <v>508</v>
      </c>
      <c r="H118" s="118"/>
      <c r="I118" s="118"/>
    </row>
    <row r="119" spans="2:9" x14ac:dyDescent="0.25">
      <c r="B119" s="162" t="str">
        <f>C16</f>
        <v>Residual fuel oil</v>
      </c>
      <c r="C119" s="163" t="s">
        <v>63</v>
      </c>
      <c r="D119" s="181">
        <f>VLOOKUP(B119,fuelInfo,3,FALSE)</f>
        <v>77400</v>
      </c>
      <c r="E119" s="181">
        <f>VLOOKUP(B119,fuelInfo,4,FALSE)</f>
        <v>40.4</v>
      </c>
      <c r="F119" s="296">
        <f>D119*E119</f>
        <v>3126960</v>
      </c>
      <c r="G119" s="172">
        <f>IF(((F119/1000000000)*(VLOOKUP(B119,Density_Config,2,FALSE))*158.99)=0,"",((F119/1000000000)*(VLOOKUP(B119,Density_Config,2,FALSE))*158.99))</f>
        <v>0.47780761760550505</v>
      </c>
      <c r="H119" s="118"/>
      <c r="I119" s="118"/>
    </row>
    <row r="120" spans="2:9" x14ac:dyDescent="0.25">
      <c r="B120" s="160"/>
      <c r="C120" s="132" t="s">
        <v>64</v>
      </c>
      <c r="G120" s="172">
        <f>IF((F119/1000000000)*(VLOOKUP(B119,Density_Config,2,FALSE)*3.785=0),"",((F119/1000000000)*(VLOOKUP(B119,Density_Config,2,FALSE))*3.785))</f>
        <v>1.137494076757555E-2</v>
      </c>
      <c r="H120" s="118"/>
      <c r="I120" s="118"/>
    </row>
    <row r="121" spans="2:9" ht="13.8" thickBot="1" x14ac:dyDescent="0.3">
      <c r="B121" s="161"/>
      <c r="C121" s="152" t="s">
        <v>65</v>
      </c>
      <c r="D121" s="277"/>
      <c r="E121" s="277"/>
      <c r="F121" s="295"/>
      <c r="G121" s="173">
        <f>IF((F119/1000000000)*(VLOOKUP(B119,Density_Config,2,FALSE))=0,"",((F119/1000000000)*(VLOOKUP(B119,Density_Config,2,FALSE))))</f>
        <v>3.0052683665985598E-3</v>
      </c>
      <c r="H121" s="118"/>
      <c r="I121" s="118"/>
    </row>
    <row r="122" spans="2:9" ht="13.8" thickBot="1" x14ac:dyDescent="0.3">
      <c r="B122" s="29" t="s">
        <v>628</v>
      </c>
      <c r="H122" s="118"/>
      <c r="I122" s="118"/>
    </row>
    <row r="123" spans="2:9" ht="40.200000000000003" thickBot="1" x14ac:dyDescent="0.3">
      <c r="B123" s="158" t="s">
        <v>62</v>
      </c>
      <c r="C123" s="159" t="s">
        <v>68</v>
      </c>
      <c r="D123" s="276" t="s">
        <v>71</v>
      </c>
      <c r="E123" s="276" t="s">
        <v>70</v>
      </c>
      <c r="F123" s="294" t="s">
        <v>69</v>
      </c>
      <c r="G123" s="174" t="s">
        <v>508</v>
      </c>
      <c r="H123" s="118"/>
      <c r="I123" s="118"/>
    </row>
    <row r="124" spans="2:9" x14ac:dyDescent="0.25">
      <c r="B124" s="162" t="str">
        <f>C17</f>
        <v>Liquified Petroleum Gases</v>
      </c>
      <c r="C124" s="163" t="s">
        <v>63</v>
      </c>
      <c r="D124" s="181">
        <f>VLOOKUP(B124,fuelInfo,3,FALSE)</f>
        <v>63100</v>
      </c>
      <c r="E124" s="181">
        <f>VLOOKUP(B124,fuelInfo,4,FALSE)</f>
        <v>47.3</v>
      </c>
      <c r="F124" s="296">
        <f>D124*E124</f>
        <v>2984630</v>
      </c>
      <c r="G124" s="172">
        <f>IF(((F124/1000000000)*(VLOOKUP(B124,Density_Config,2,FALSE))*158.99)=0,"",((F124/1000000000)*(VLOOKUP(B124,Density_Config,2,FALSE))*158.99))</f>
        <v>0.23420116778357161</v>
      </c>
      <c r="H124" s="118"/>
      <c r="I124" s="118"/>
    </row>
    <row r="125" spans="2:9" x14ac:dyDescent="0.25">
      <c r="B125" s="160"/>
      <c r="C125" s="132" t="s">
        <v>64</v>
      </c>
      <c r="G125" s="172">
        <f>IF((F124/1000000000)*(VLOOKUP(B124,Density_Config,2,FALSE)*3.785=0),"",((F124/1000000000)*(VLOOKUP(B124,Density_Config,2,FALSE))*3.785))</f>
        <v>5.5755168253400758E-3</v>
      </c>
      <c r="H125" s="118"/>
      <c r="I125" s="118"/>
    </row>
    <row r="126" spans="2:9" ht="13.8" thickBot="1" x14ac:dyDescent="0.3">
      <c r="B126" s="161"/>
      <c r="C126" s="152" t="s">
        <v>65</v>
      </c>
      <c r="D126" s="277"/>
      <c r="E126" s="277"/>
      <c r="F126" s="295"/>
      <c r="G126" s="173">
        <f>IF((F124/1000000000)*(VLOOKUP(B124,Density_Config,2,FALSE))=0,"",((F124/1000000000)*(VLOOKUP(B124,Density_Config,2,FALSE))))</f>
        <v>1.4730559644227411E-3</v>
      </c>
      <c r="H126" s="118"/>
      <c r="I126" s="118"/>
    </row>
    <row r="127" spans="2:9" ht="13.8" thickBot="1" x14ac:dyDescent="0.3">
      <c r="B127" s="29" t="s">
        <v>655</v>
      </c>
      <c r="H127" s="118"/>
      <c r="I127" s="118"/>
    </row>
    <row r="128" spans="2:9" ht="40.200000000000003" thickBot="1" x14ac:dyDescent="0.3">
      <c r="B128" s="158" t="s">
        <v>62</v>
      </c>
      <c r="C128" s="159" t="s">
        <v>68</v>
      </c>
      <c r="D128" s="276" t="s">
        <v>71</v>
      </c>
      <c r="E128" s="276" t="s">
        <v>70</v>
      </c>
      <c r="F128" s="294" t="s">
        <v>69</v>
      </c>
      <c r="G128" s="174" t="s">
        <v>508</v>
      </c>
      <c r="H128" s="118"/>
      <c r="I128" s="118"/>
    </row>
    <row r="129" spans="2:9" x14ac:dyDescent="0.25">
      <c r="B129" s="160" t="str">
        <f>C19</f>
        <v>Naphtha</v>
      </c>
      <c r="C129" s="132" t="s">
        <v>63</v>
      </c>
      <c r="D129" s="135">
        <f>VLOOKUP(B129,fuelInfo,3,FALSE)</f>
        <v>73300</v>
      </c>
      <c r="E129" s="135">
        <f>VLOOKUP(B129,fuelInfo,4,FALSE)</f>
        <v>44.5</v>
      </c>
      <c r="F129" s="287">
        <f>D129*E129</f>
        <v>3261850</v>
      </c>
      <c r="G129" s="172">
        <f>IF(((F129/1000000000)*(VLOOKUP(B129,Density_Config,2,FALSE))*158.99)=0,"",((F129/1000000000)*(VLOOKUP(B129,Density_Config,2,FALSE))*158.99))</f>
        <v>0.37772865660167326</v>
      </c>
      <c r="H129" s="118"/>
      <c r="I129" s="118"/>
    </row>
    <row r="130" spans="2:9" x14ac:dyDescent="0.25">
      <c r="B130" s="160"/>
      <c r="C130" s="132" t="s">
        <v>64</v>
      </c>
      <c r="G130" s="172">
        <f>IF((F129/1000000000)*(VLOOKUP(B129,Density_Config,2,FALSE)*3.785=0),"",((F129/1000000000)*(VLOOKUP(B129,Density_Config,2,FALSE))*3.785))</f>
        <v>8.992408108920897E-3</v>
      </c>
      <c r="H130" s="118"/>
      <c r="I130" s="118"/>
    </row>
    <row r="131" spans="2:9" ht="13.8" thickBot="1" x14ac:dyDescent="0.3">
      <c r="B131" s="161"/>
      <c r="C131" s="152" t="s">
        <v>65</v>
      </c>
      <c r="D131" s="277"/>
      <c r="E131" s="277"/>
      <c r="F131" s="295"/>
      <c r="G131" s="173">
        <f>IF((F129/1000000000)*(VLOOKUP(B129,Density_Config,2,FALSE))=0,"",((F129/1000000000)*(VLOOKUP(B129,Density_Config,2,FALSE))))</f>
        <v>2.3758013497809502E-3</v>
      </c>
      <c r="H131" s="118"/>
      <c r="I131" s="118"/>
    </row>
    <row r="132" spans="2:9" ht="13.8" thickBot="1" x14ac:dyDescent="0.3">
      <c r="B132" s="29" t="s">
        <v>629</v>
      </c>
      <c r="H132" s="118"/>
      <c r="I132" s="118"/>
    </row>
    <row r="133" spans="2:9" ht="40.200000000000003" thickBot="1" x14ac:dyDescent="0.3">
      <c r="B133" s="164" t="s">
        <v>62</v>
      </c>
      <c r="C133" s="165" t="s">
        <v>68</v>
      </c>
      <c r="D133" s="278" t="s">
        <v>71</v>
      </c>
      <c r="E133" s="278" t="s">
        <v>70</v>
      </c>
      <c r="F133" s="297" t="s">
        <v>69</v>
      </c>
      <c r="G133" s="174" t="s">
        <v>508</v>
      </c>
      <c r="H133" s="118"/>
      <c r="I133" s="118"/>
    </row>
    <row r="134" spans="2:9" x14ac:dyDescent="0.25">
      <c r="B134" s="162" t="str">
        <f>C21</f>
        <v>Lubricants</v>
      </c>
      <c r="C134" s="163" t="s">
        <v>63</v>
      </c>
      <c r="D134" s="181">
        <f>VLOOKUP(B134,fuelInfo,3,FALSE)</f>
        <v>73300</v>
      </c>
      <c r="E134" s="181">
        <f>VLOOKUP(B134,fuelInfo,4,FALSE)</f>
        <v>40.200000000000003</v>
      </c>
      <c r="F134" s="296">
        <f>D134*E134</f>
        <v>2946660</v>
      </c>
      <c r="G134" s="172">
        <f>IF(((F134/1000000000)*(VLOOKUP(B134,Density_Config,2,FALSE))*158.99)=0,"",((F134/1000000000)*(VLOOKUP(B134,Density_Config,2,FALSE))*158.99))</f>
        <v>0.42079020735901057</v>
      </c>
      <c r="H134" s="118"/>
      <c r="I134" s="118"/>
    </row>
    <row r="135" spans="2:9" x14ac:dyDescent="0.25">
      <c r="B135" s="160"/>
      <c r="C135" s="132" t="s">
        <v>64</v>
      </c>
      <c r="G135" s="172">
        <f>IF((F134/1000000000)*(VLOOKUP(B134,Density_Config,2,FALSE)*3.785=0),"",((F134/1000000000)*(VLOOKUP(B134,Density_Config,2,FALSE))*3.785))</f>
        <v>1.0017554153430121E-2</v>
      </c>
      <c r="H135" s="118"/>
      <c r="I135" s="118"/>
    </row>
    <row r="136" spans="2:9" ht="13.8" thickBot="1" x14ac:dyDescent="0.3">
      <c r="B136" s="161"/>
      <c r="C136" s="152" t="s">
        <v>65</v>
      </c>
      <c r="D136" s="277"/>
      <c r="E136" s="277"/>
      <c r="F136" s="295"/>
      <c r="G136" s="173">
        <f>IF((F134/1000000000)*(VLOOKUP(B134,Density_Config,2,FALSE))=0,"",((F134/1000000000)*(VLOOKUP(B134,Density_Config,2,FALSE))))</f>
        <v>2.6466457472734796E-3</v>
      </c>
      <c r="H136" s="118"/>
      <c r="I136" s="118"/>
    </row>
    <row r="137" spans="2:9" ht="13.8" thickBot="1" x14ac:dyDescent="0.3">
      <c r="B137" s="29" t="s">
        <v>656</v>
      </c>
      <c r="H137" s="118"/>
      <c r="I137" s="118"/>
    </row>
    <row r="138" spans="2:9" ht="40.200000000000003" thickBot="1" x14ac:dyDescent="0.3">
      <c r="B138" s="164" t="s">
        <v>62</v>
      </c>
      <c r="C138" s="165" t="s">
        <v>68</v>
      </c>
      <c r="D138" s="278" t="s">
        <v>71</v>
      </c>
      <c r="E138" s="278" t="s">
        <v>70</v>
      </c>
      <c r="F138" s="297" t="s">
        <v>69</v>
      </c>
      <c r="G138" s="174" t="s">
        <v>508</v>
      </c>
      <c r="H138" s="118"/>
      <c r="I138" s="118"/>
    </row>
    <row r="139" spans="2:9" x14ac:dyDescent="0.25">
      <c r="B139" s="162" t="str">
        <f>C53</f>
        <v>Biodiesels</v>
      </c>
      <c r="C139" s="163" t="s">
        <v>63</v>
      </c>
      <c r="D139" s="181">
        <f>VLOOKUP(B139,fuelInfo,3,FALSE)</f>
        <v>70800</v>
      </c>
      <c r="E139" s="181">
        <f>VLOOKUP(B139,fuelInfo,4,FALSE)</f>
        <v>27</v>
      </c>
      <c r="F139" s="296">
        <f>D139*E139</f>
        <v>1911600</v>
      </c>
      <c r="G139" s="172" t="str">
        <f>IF(((F139/1000000000)*(VLOOKUP(B139,Density_Config,2,FALSE))*158.99)=0,"",((F139/1000000000)*(VLOOKUP(B139,Density_Config,2,FALSE))*158.99))</f>
        <v/>
      </c>
      <c r="H139" s="118"/>
      <c r="I139" s="118"/>
    </row>
    <row r="140" spans="2:9" x14ac:dyDescent="0.25">
      <c r="B140" s="160"/>
      <c r="C140" s="132" t="s">
        <v>64</v>
      </c>
      <c r="G140" s="172" t="str">
        <f>IF((F139/1000000000)*(VLOOKUP(B139,Density_Config,2,FALSE)*3.785=0),"",((F139/1000000000)*(VLOOKUP(B139,Density_Config,2,FALSE))*3.785))</f>
        <v/>
      </c>
      <c r="H140" s="118"/>
      <c r="I140" s="118"/>
    </row>
    <row r="141" spans="2:9" ht="13.8" thickBot="1" x14ac:dyDescent="0.3">
      <c r="B141" s="161"/>
      <c r="C141" s="152" t="s">
        <v>65</v>
      </c>
      <c r="D141" s="277"/>
      <c r="E141" s="277"/>
      <c r="F141" s="295"/>
      <c r="G141" s="173" t="str">
        <f>IF((F139/1000000000)*(VLOOKUP(B139,Density_Config,2,FALSE))=0,"",((F139/1000000000)*(VLOOKUP(B139,Density_Config,2,FALSE))))</f>
        <v/>
      </c>
      <c r="H141" s="118"/>
      <c r="I141" s="118"/>
    </row>
    <row r="142" spans="2:9" ht="13.8" thickBot="1" x14ac:dyDescent="0.3">
      <c r="B142" s="29" t="s">
        <v>657</v>
      </c>
      <c r="H142" s="118"/>
      <c r="I142" s="118"/>
    </row>
    <row r="143" spans="2:9" ht="40.200000000000003" thickBot="1" x14ac:dyDescent="0.3">
      <c r="B143" s="164" t="s">
        <v>62</v>
      </c>
      <c r="C143" s="165" t="s">
        <v>68</v>
      </c>
      <c r="D143" s="278" t="s">
        <v>71</v>
      </c>
      <c r="E143" s="278" t="s">
        <v>70</v>
      </c>
      <c r="F143" s="297" t="s">
        <v>69</v>
      </c>
      <c r="G143" s="174" t="s">
        <v>508</v>
      </c>
      <c r="H143" s="118"/>
      <c r="I143" s="118"/>
    </row>
    <row r="144" spans="2:9" x14ac:dyDescent="0.25">
      <c r="B144" s="162" t="str">
        <f>C52</f>
        <v>Biogasoline</v>
      </c>
      <c r="C144" s="163" t="s">
        <v>63</v>
      </c>
      <c r="D144" s="181">
        <f>VLOOKUP(B144,fuelInfo,3,FALSE)</f>
        <v>70800</v>
      </c>
      <c r="E144" s="181">
        <f>VLOOKUP(B144,fuelInfo,4,FALSE)</f>
        <v>27</v>
      </c>
      <c r="F144" s="296">
        <f>D144*E144</f>
        <v>1911600</v>
      </c>
      <c r="G144" s="172" t="str">
        <f>IF(((F144/1000000000)*(VLOOKUP(B144,Density_Config,2,FALSE))*158.99)=0,"",((F144/1000000000)*(VLOOKUP(B144,Density_Config,2,FALSE))*158.99))</f>
        <v/>
      </c>
      <c r="H144" s="118"/>
      <c r="I144" s="118"/>
    </row>
    <row r="145" spans="2:9" x14ac:dyDescent="0.25">
      <c r="B145" s="160"/>
      <c r="C145" s="132" t="s">
        <v>64</v>
      </c>
      <c r="G145" s="172" t="str">
        <f>IF((F144/1000000000)*(VLOOKUP(B144,Density_Config,2,FALSE)*3.785=0),"",((F144/1000000000)*(VLOOKUP(B144,Density_Config,2,FALSE))*3.785))</f>
        <v/>
      </c>
      <c r="H145" s="118"/>
      <c r="I145" s="118"/>
    </row>
    <row r="146" spans="2:9" ht="13.8" thickBot="1" x14ac:dyDescent="0.3">
      <c r="B146" s="161"/>
      <c r="C146" s="152" t="s">
        <v>65</v>
      </c>
      <c r="D146" s="277"/>
      <c r="E146" s="277"/>
      <c r="F146" s="295"/>
      <c r="G146" s="173" t="str">
        <f>IF((F144/1000000000)*(VLOOKUP(B144,Density_Config,2,FALSE))=0,"",((F144/1000000000)*(VLOOKUP(B144,Density_Config,2,FALSE))))</f>
        <v/>
      </c>
      <c r="H146" s="118"/>
      <c r="I146" s="118"/>
    </row>
    <row r="147" spans="2:9" ht="13.8" thickBot="1" x14ac:dyDescent="0.3">
      <c r="B147" s="29" t="s">
        <v>658</v>
      </c>
      <c r="H147" s="118"/>
      <c r="I147" s="118"/>
    </row>
    <row r="148" spans="2:9" ht="40.200000000000003" thickBot="1" x14ac:dyDescent="0.3">
      <c r="B148" s="164" t="s">
        <v>62</v>
      </c>
      <c r="C148" s="165" t="s">
        <v>68</v>
      </c>
      <c r="D148" s="278" t="s">
        <v>71</v>
      </c>
      <c r="E148" s="278" t="s">
        <v>70</v>
      </c>
      <c r="F148" s="297" t="s">
        <v>69</v>
      </c>
      <c r="G148" s="174" t="s">
        <v>508</v>
      </c>
      <c r="H148" s="118"/>
      <c r="I148" s="118"/>
    </row>
    <row r="149" spans="2:9" x14ac:dyDescent="0.25">
      <c r="B149" s="162" t="str">
        <f>C18</f>
        <v>Ethane</v>
      </c>
      <c r="C149" s="163" t="s">
        <v>63</v>
      </c>
      <c r="D149" s="181">
        <f>VLOOKUP(B149,fuelInfo,3,FALSE)</f>
        <v>61600</v>
      </c>
      <c r="E149" s="181">
        <f>VLOOKUP(B149,fuelInfo,4,FALSE)</f>
        <v>46.4</v>
      </c>
      <c r="F149" s="296">
        <f>D149*E149</f>
        <v>2858240</v>
      </c>
      <c r="G149" s="172" t="str">
        <f>IF(((F149/1000000000)*(VLOOKUP(B149,Density_Config,2,FALSE))*158.99)=0,"",((F149/1000000000)*(VLOOKUP(B149,Density_Config,2,FALSE))*158.99))</f>
        <v/>
      </c>
      <c r="H149" s="118"/>
      <c r="I149" s="118"/>
    </row>
    <row r="150" spans="2:9" x14ac:dyDescent="0.25">
      <c r="B150" s="160"/>
      <c r="C150" s="132" t="s">
        <v>64</v>
      </c>
      <c r="G150" s="172" t="str">
        <f>IF((F149/1000000000)*(VLOOKUP(B149,Density_Config,2,FALSE)*3.785=0),"",((F149/1000000000)*(VLOOKUP(B149,Density_Config,2,FALSE))*3.785))</f>
        <v/>
      </c>
      <c r="H150" s="118"/>
      <c r="I150" s="118"/>
    </row>
    <row r="151" spans="2:9" ht="13.8" thickBot="1" x14ac:dyDescent="0.3">
      <c r="B151" s="161"/>
      <c r="C151" s="152" t="s">
        <v>65</v>
      </c>
      <c r="D151" s="277"/>
      <c r="E151" s="277"/>
      <c r="F151" s="295"/>
      <c r="G151" s="173" t="str">
        <f>IF((F149/1000000000)*(VLOOKUP(B149,Density_Config,2,FALSE))=0,"",((F149/1000000000)*(VLOOKUP(B149,Density_Config,2,FALSE))))</f>
        <v/>
      </c>
      <c r="H151" s="118"/>
      <c r="I151" s="118"/>
    </row>
    <row r="152" spans="2:9" ht="13.8" thickBot="1" x14ac:dyDescent="0.3">
      <c r="B152" s="29" t="s">
        <v>659</v>
      </c>
      <c r="H152" s="118"/>
      <c r="I152" s="118"/>
    </row>
    <row r="153" spans="2:9" ht="40.200000000000003" thickBot="1" x14ac:dyDescent="0.3">
      <c r="B153" s="164" t="s">
        <v>62</v>
      </c>
      <c r="C153" s="165" t="s">
        <v>68</v>
      </c>
      <c r="D153" s="278" t="s">
        <v>71</v>
      </c>
      <c r="E153" s="278" t="s">
        <v>70</v>
      </c>
      <c r="F153" s="297" t="s">
        <v>69</v>
      </c>
      <c r="G153" s="174" t="s">
        <v>508</v>
      </c>
      <c r="H153" s="118"/>
      <c r="I153" s="118"/>
    </row>
    <row r="154" spans="2:9" x14ac:dyDescent="0.25">
      <c r="B154" s="160" t="str">
        <f>C11</f>
        <v>Jet gasoline</v>
      </c>
      <c r="C154" s="132" t="s">
        <v>63</v>
      </c>
      <c r="D154" s="135">
        <f>VLOOKUP(B154,fuelInfo,3,FALSE)</f>
        <v>70000</v>
      </c>
      <c r="E154" s="135">
        <f>VLOOKUP(B154,fuelInfo,4,FALSE)</f>
        <v>44.3</v>
      </c>
      <c r="F154" s="287">
        <f>D154*E154</f>
        <v>3101000</v>
      </c>
      <c r="G154" s="172">
        <f>IF(((F154/1000000000)*(VLOOKUP(B154,Density_Config,2,FALSE))*158.99)=0,"",((F154/1000000000)*(VLOOKUP(B154,Density_Config,2,FALSE))*158.99))</f>
        <v>0.34731791113209193</v>
      </c>
      <c r="H154" s="118"/>
      <c r="I154" s="118"/>
    </row>
    <row r="155" spans="2:9" x14ac:dyDescent="0.25">
      <c r="B155" s="160"/>
      <c r="C155" s="132" t="s">
        <v>64</v>
      </c>
      <c r="G155" s="172">
        <f>IF((F154/1000000000)*(VLOOKUP(B154,Density_Config,2,FALSE)*3.785=0),"",((F154/1000000000)*(VLOOKUP(B154,Density_Config,2,FALSE))*3.785))</f>
        <v>8.2684338237308513E-3</v>
      </c>
      <c r="H155" s="118"/>
      <c r="I155" s="118"/>
    </row>
    <row r="156" spans="2:9" ht="13.8" thickBot="1" x14ac:dyDescent="0.3">
      <c r="B156" s="161"/>
      <c r="C156" s="152" t="s">
        <v>65</v>
      </c>
      <c r="D156" s="277"/>
      <c r="E156" s="277"/>
      <c r="F156" s="295"/>
      <c r="G156" s="173">
        <f>IF((F154/1000000000)*(VLOOKUP(B154,Density_Config,2,FALSE))=0,"",((F154/1000000000)*(VLOOKUP(B154,Density_Config,2,FALSE))))</f>
        <v>2.18452676981E-3</v>
      </c>
      <c r="H156" s="118"/>
      <c r="I156" s="118"/>
    </row>
    <row r="157" spans="2:9" ht="13.8" thickBot="1" x14ac:dyDescent="0.3">
      <c r="B157" s="29" t="s">
        <v>660</v>
      </c>
      <c r="H157" s="118"/>
      <c r="I157" s="118"/>
    </row>
    <row r="158" spans="2:9" ht="40.200000000000003" thickBot="1" x14ac:dyDescent="0.3">
      <c r="B158" s="164" t="s">
        <v>62</v>
      </c>
      <c r="C158" s="165" t="s">
        <v>68</v>
      </c>
      <c r="D158" s="278" t="s">
        <v>71</v>
      </c>
      <c r="E158" s="278" t="s">
        <v>70</v>
      </c>
      <c r="F158" s="297" t="s">
        <v>69</v>
      </c>
      <c r="G158" s="174" t="s">
        <v>508</v>
      </c>
      <c r="H158" s="118"/>
      <c r="I158" s="118"/>
    </row>
    <row r="159" spans="2:9" x14ac:dyDescent="0.25">
      <c r="B159" s="162" t="str">
        <f>C8</f>
        <v>Natural Gas Liquids</v>
      </c>
      <c r="C159" s="163" t="s">
        <v>63</v>
      </c>
      <c r="D159" s="181">
        <f>VLOOKUP(B159,fuelInfo,3,FALSE)</f>
        <v>64200</v>
      </c>
      <c r="E159" s="181">
        <f>VLOOKUP(B159,fuelInfo,4,FALSE)</f>
        <v>44.2</v>
      </c>
      <c r="F159" s="296">
        <f>D159*E159</f>
        <v>2837640</v>
      </c>
      <c r="G159" s="172" t="str">
        <f>IF(((F159/1000000000)*(VLOOKUP(B159,Density_Config,2,FALSE))*158.99)=0,"",((F159/1000000000)*(VLOOKUP(B159,Density_Config,2,FALSE))*158.99))</f>
        <v/>
      </c>
      <c r="H159" s="118"/>
      <c r="I159" s="118"/>
    </row>
    <row r="160" spans="2:9" x14ac:dyDescent="0.25">
      <c r="B160" s="160"/>
      <c r="C160" s="132" t="s">
        <v>64</v>
      </c>
      <c r="G160" s="172" t="str">
        <f>IF((F159/1000000000)*(VLOOKUP(B159,Density_Config,2,FALSE)*3.785=0),"",((F159/1000000000)*(VLOOKUP(B159,Density_Config,2,FALSE))*3.785))</f>
        <v/>
      </c>
      <c r="H160" s="118"/>
      <c r="I160" s="118"/>
    </row>
    <row r="161" spans="2:9" ht="13.8" thickBot="1" x14ac:dyDescent="0.3">
      <c r="B161" s="161"/>
      <c r="C161" s="152" t="s">
        <v>65</v>
      </c>
      <c r="D161" s="277"/>
      <c r="E161" s="277"/>
      <c r="F161" s="295"/>
      <c r="G161" s="173" t="str">
        <f>IF((F159/1000000000)*(VLOOKUP(B159,Density_Config,2,FALSE))=0,"",((F159/1000000000)*(VLOOKUP(B159,Density_Config,2,FALSE))))</f>
        <v/>
      </c>
      <c r="H161" s="118"/>
      <c r="I161" s="118"/>
    </row>
    <row r="162" spans="2:9" ht="13.8" thickBot="1" x14ac:dyDescent="0.3">
      <c r="B162" s="29" t="s">
        <v>661</v>
      </c>
      <c r="H162" s="118"/>
      <c r="I162" s="118"/>
    </row>
    <row r="163" spans="2:9" ht="40.200000000000003" thickBot="1" x14ac:dyDescent="0.3">
      <c r="B163" s="164" t="s">
        <v>62</v>
      </c>
      <c r="C163" s="165" t="s">
        <v>68</v>
      </c>
      <c r="D163" s="278" t="s">
        <v>71</v>
      </c>
      <c r="E163" s="278" t="s">
        <v>70</v>
      </c>
      <c r="F163" s="297" t="s">
        <v>69</v>
      </c>
      <c r="G163" s="174" t="s">
        <v>508</v>
      </c>
      <c r="H163" s="118"/>
      <c r="I163" s="118"/>
    </row>
    <row r="164" spans="2:9" x14ac:dyDescent="0.25">
      <c r="B164" s="162" t="str">
        <f>C54</f>
        <v>Other liquid biofuels</v>
      </c>
      <c r="C164" s="163" t="s">
        <v>63</v>
      </c>
      <c r="D164" s="181">
        <f>VLOOKUP(B164,fuelInfo,3,FALSE)</f>
        <v>79600</v>
      </c>
      <c r="E164" s="181">
        <f>VLOOKUP(B164,fuelInfo,4,FALSE)</f>
        <v>27.4</v>
      </c>
      <c r="F164" s="296">
        <f>D164*E164</f>
        <v>2181040</v>
      </c>
      <c r="G164" s="172" t="str">
        <f>IF(((F164/1000000000)*(VLOOKUP(B164,Density_Config,2,FALSE))*158.99)=0,"",((F164/1000000000)*(VLOOKUP(B164,Density_Config,2,FALSE))*158.99))</f>
        <v/>
      </c>
      <c r="H164" s="118"/>
      <c r="I164" s="118"/>
    </row>
    <row r="165" spans="2:9" x14ac:dyDescent="0.25">
      <c r="B165" s="160"/>
      <c r="C165" s="132" t="s">
        <v>64</v>
      </c>
      <c r="G165" s="172" t="str">
        <f>IF((F164/1000000000)*(VLOOKUP(B164,Density_Config,2,FALSE)*3.785=0),"",((F164/1000000000)*(VLOOKUP(B164,Density_Config,2,FALSE))*3.785))</f>
        <v/>
      </c>
      <c r="H165" s="118"/>
      <c r="I165" s="118"/>
    </row>
    <row r="166" spans="2:9" ht="13.8" thickBot="1" x14ac:dyDescent="0.3">
      <c r="B166" s="161"/>
      <c r="C166" s="152" t="s">
        <v>65</v>
      </c>
      <c r="D166" s="277"/>
      <c r="E166" s="277"/>
      <c r="F166" s="295"/>
      <c r="G166" s="173" t="str">
        <f>IF((F164/1000000000)*(VLOOKUP(B164,Density_Config,2,FALSE))=0,"",((F164/1000000000)*(VLOOKUP(B164,Density_Config,2,FALSE))))</f>
        <v/>
      </c>
      <c r="H166" s="118"/>
      <c r="I166" s="118"/>
    </row>
    <row r="167" spans="2:9" ht="13.8" thickBot="1" x14ac:dyDescent="0.3">
      <c r="B167" s="29" t="s">
        <v>674</v>
      </c>
      <c r="H167" s="118"/>
      <c r="I167" s="118"/>
    </row>
    <row r="168" spans="2:9" ht="40.200000000000003" thickBot="1" x14ac:dyDescent="0.3">
      <c r="B168" s="164" t="s">
        <v>62</v>
      </c>
      <c r="C168" s="165" t="s">
        <v>68</v>
      </c>
      <c r="D168" s="278" t="s">
        <v>71</v>
      </c>
      <c r="E168" s="278" t="s">
        <v>70</v>
      </c>
      <c r="F168" s="297" t="s">
        <v>69</v>
      </c>
      <c r="G168" s="174" t="s">
        <v>508</v>
      </c>
      <c r="H168" s="118"/>
      <c r="I168" s="118"/>
    </row>
    <row r="169" spans="2:9" x14ac:dyDescent="0.25">
      <c r="B169" s="162" t="str">
        <f>C33</f>
        <v>Oil shale and tar sands</v>
      </c>
      <c r="C169" s="163" t="s">
        <v>63</v>
      </c>
      <c r="D169" s="181">
        <f>VLOOKUP(B169,fuelInfo,3,FALSE)</f>
        <v>107000</v>
      </c>
      <c r="E169" s="181">
        <f>VLOOKUP(B169,fuelInfo,4,FALSE)</f>
        <v>8.9</v>
      </c>
      <c r="F169" s="296">
        <f>D169*E169</f>
        <v>952300</v>
      </c>
      <c r="G169" s="172" t="str">
        <f>IF(((F169/1000000000)*(VLOOKUP(B169,Density_Config,2,FALSE))*158.99)=0,"",((F169/1000000000)*(VLOOKUP(B169,Density_Config,2,FALSE))*158.99))</f>
        <v/>
      </c>
      <c r="H169" s="118"/>
      <c r="I169" s="118"/>
    </row>
    <row r="170" spans="2:9" x14ac:dyDescent="0.25">
      <c r="B170" s="160"/>
      <c r="C170" s="132" t="s">
        <v>64</v>
      </c>
      <c r="G170" s="172" t="str">
        <f>IF((F169/1000000000)*(VLOOKUP(B169,Density_Config,2,FALSE)*3.785=0),"",((F169/1000000000)*(VLOOKUP(B169,Density_Config,2,FALSE))*3.785))</f>
        <v/>
      </c>
      <c r="H170" s="118"/>
      <c r="I170" s="118"/>
    </row>
    <row r="171" spans="2:9" ht="13.8" thickBot="1" x14ac:dyDescent="0.3">
      <c r="B171" s="161"/>
      <c r="C171" s="152" t="s">
        <v>65</v>
      </c>
      <c r="D171" s="277"/>
      <c r="E171" s="277"/>
      <c r="F171" s="295"/>
      <c r="G171" s="173" t="str">
        <f>IF((F169/1000000000)*(VLOOKUP(B169,Density_Config,2,FALSE))=0,"",((F169/1000000000)*(VLOOKUP(B169,Density_Config,2,FALSE))))</f>
        <v/>
      </c>
      <c r="H171" s="118"/>
      <c r="I171" s="118"/>
    </row>
    <row r="172" spans="2:9" ht="13.8" thickBot="1" x14ac:dyDescent="0.3">
      <c r="B172" s="29" t="s">
        <v>675</v>
      </c>
      <c r="H172" s="118"/>
      <c r="I172" s="118"/>
    </row>
    <row r="173" spans="2:9" ht="40.200000000000003" thickBot="1" x14ac:dyDescent="0.3">
      <c r="B173" s="164" t="s">
        <v>62</v>
      </c>
      <c r="C173" s="165" t="s">
        <v>68</v>
      </c>
      <c r="D173" s="278" t="s">
        <v>71</v>
      </c>
      <c r="E173" s="278" t="s">
        <v>70</v>
      </c>
      <c r="F173" s="297" t="s">
        <v>69</v>
      </c>
      <c r="G173" s="174" t="s">
        <v>508</v>
      </c>
      <c r="H173" s="118"/>
      <c r="I173" s="118"/>
    </row>
    <row r="174" spans="2:9" x14ac:dyDescent="0.25">
      <c r="B174" s="160" t="str">
        <f>C7</f>
        <v>Orimulsion</v>
      </c>
      <c r="C174" s="132" t="s">
        <v>63</v>
      </c>
      <c r="D174" s="135">
        <f>VLOOKUP(B174,fuelInfo,3,FALSE)</f>
        <v>77000</v>
      </c>
      <c r="E174" s="135">
        <f>VLOOKUP(B174,fuelInfo,4,FALSE)</f>
        <v>27.5</v>
      </c>
      <c r="F174" s="287">
        <f>D174*E174</f>
        <v>2117500</v>
      </c>
      <c r="G174" s="172" t="str">
        <f>IF(((F174/1000000000)*(VLOOKUP(B174,Density_Config,2,FALSE))*158.99)=0,"",((F174/1000000000)*(VLOOKUP(B174,Density_Config,2,FALSE))*158.99))</f>
        <v/>
      </c>
      <c r="H174" s="118"/>
      <c r="I174" s="118"/>
    </row>
    <row r="175" spans="2:9" x14ac:dyDescent="0.25">
      <c r="B175" s="160"/>
      <c r="C175" s="132" t="s">
        <v>64</v>
      </c>
      <c r="G175" s="172" t="str">
        <f>IF((F174/1000000000)*(VLOOKUP(B174,Density_Config,2,FALSE)*3.785=0),"",((F174/1000000000)*(VLOOKUP(B174,Density_Config,2,FALSE))*3.785))</f>
        <v/>
      </c>
      <c r="H175" s="118"/>
      <c r="I175" s="118"/>
    </row>
    <row r="176" spans="2:9" ht="13.8" thickBot="1" x14ac:dyDescent="0.3">
      <c r="B176" s="161"/>
      <c r="C176" s="152" t="s">
        <v>65</v>
      </c>
      <c r="D176" s="277"/>
      <c r="E176" s="277"/>
      <c r="F176" s="295"/>
      <c r="G176" s="173" t="str">
        <f>IF((F174/1000000000)*(VLOOKUP(B174,Density_Config,2,FALSE))=0,"",((F174/1000000000)*(VLOOKUP(B174,Density_Config,2,FALSE))))</f>
        <v/>
      </c>
      <c r="H176" s="118"/>
      <c r="I176" s="118"/>
    </row>
    <row r="177" spans="2:9" ht="13.8" thickBot="1" x14ac:dyDescent="0.3">
      <c r="B177" s="29" t="s">
        <v>662</v>
      </c>
      <c r="H177" s="118"/>
      <c r="I177" s="118"/>
    </row>
    <row r="178" spans="2:9" ht="40.200000000000003" thickBot="1" x14ac:dyDescent="0.3">
      <c r="B178" s="164" t="s">
        <v>62</v>
      </c>
      <c r="C178" s="165" t="s">
        <v>68</v>
      </c>
      <c r="D178" s="278" t="s">
        <v>71</v>
      </c>
      <c r="E178" s="278" t="s">
        <v>70</v>
      </c>
      <c r="F178" s="297" t="s">
        <v>69</v>
      </c>
      <c r="G178" s="174" t="s">
        <v>508</v>
      </c>
      <c r="H178" s="118"/>
      <c r="I178" s="118"/>
    </row>
    <row r="179" spans="2:9" x14ac:dyDescent="0.25">
      <c r="B179" s="160" t="str">
        <f>C23</f>
        <v>Refinery feedstocks</v>
      </c>
      <c r="C179" s="132" t="s">
        <v>63</v>
      </c>
      <c r="D179" s="135">
        <f>VLOOKUP(B179,fuelInfo,3,FALSE)</f>
        <v>73300</v>
      </c>
      <c r="E179" s="135">
        <f>VLOOKUP(B179,fuelInfo,4,FALSE)</f>
        <v>43</v>
      </c>
      <c r="F179" s="287">
        <f>D179*E179</f>
        <v>3151900</v>
      </c>
      <c r="G179" s="172" t="str">
        <f>IF(((F179/1000000000)*(VLOOKUP(B179,Density_Config,2,FALSE))*158.99)=0,"",((F179/1000000000)*(VLOOKUP(B179,Density_Config,2,FALSE))*158.99))</f>
        <v/>
      </c>
      <c r="H179" s="118"/>
      <c r="I179" s="118"/>
    </row>
    <row r="180" spans="2:9" x14ac:dyDescent="0.25">
      <c r="B180" s="160"/>
      <c r="C180" s="132" t="s">
        <v>64</v>
      </c>
      <c r="G180" s="172" t="str">
        <f>IF((F179/1000000000)*(VLOOKUP(B179,Density_Config,2,FALSE)*3.785=0),"",((F179/1000000000)*(VLOOKUP(B179,Density_Config,2,FALSE))*3.785))</f>
        <v/>
      </c>
      <c r="H180" s="118"/>
      <c r="I180" s="118"/>
    </row>
    <row r="181" spans="2:9" ht="13.8" thickBot="1" x14ac:dyDescent="0.3">
      <c r="B181" s="161"/>
      <c r="C181" s="152" t="s">
        <v>65</v>
      </c>
      <c r="D181" s="277"/>
      <c r="E181" s="277"/>
      <c r="F181" s="295"/>
      <c r="G181" s="173" t="str">
        <f>IF((F179/1000000000)*(VLOOKUP(B179,Density_Config,2,FALSE))=0,"",((F179/1000000000)*(VLOOKUP(B179,Density_Config,2,FALSE))))</f>
        <v/>
      </c>
      <c r="H181" s="118"/>
      <c r="I181" s="118"/>
    </row>
    <row r="182" spans="2:9" ht="13.8" thickBot="1" x14ac:dyDescent="0.3">
      <c r="B182" s="29" t="s">
        <v>663</v>
      </c>
      <c r="H182" s="118"/>
      <c r="I182" s="118"/>
    </row>
    <row r="183" spans="2:9" ht="40.200000000000003" thickBot="1" x14ac:dyDescent="0.3">
      <c r="B183" s="164" t="s">
        <v>62</v>
      </c>
      <c r="C183" s="165" t="s">
        <v>68</v>
      </c>
      <c r="D183" s="278" t="s">
        <v>71</v>
      </c>
      <c r="E183" s="278" t="s">
        <v>70</v>
      </c>
      <c r="F183" s="297" t="s">
        <v>69</v>
      </c>
      <c r="G183" s="174" t="s">
        <v>508</v>
      </c>
      <c r="H183" s="118"/>
      <c r="I183" s="118"/>
    </row>
    <row r="184" spans="2:9" x14ac:dyDescent="0.25">
      <c r="B184" s="162" t="str">
        <f>C24</f>
        <v>Refinery gas</v>
      </c>
      <c r="C184" s="163" t="s">
        <v>63</v>
      </c>
      <c r="D184" s="181">
        <f>VLOOKUP(B184,fuelInfo,3,FALSE)</f>
        <v>57600</v>
      </c>
      <c r="E184" s="181">
        <f>VLOOKUP(B184,fuelInfo,4,FALSE)</f>
        <v>49.5</v>
      </c>
      <c r="F184" s="296">
        <f>D184*E184</f>
        <v>2851200</v>
      </c>
      <c r="G184" s="172" t="str">
        <f>IF(((F184/1000000000)*(VLOOKUP(B184,Density_Config,2,FALSE))*158.99)=0,"",((F184/1000000000)*(VLOOKUP(B184,Density_Config,2,FALSE))*158.99))</f>
        <v/>
      </c>
      <c r="H184" s="118"/>
      <c r="I184" s="118"/>
    </row>
    <row r="185" spans="2:9" x14ac:dyDescent="0.25">
      <c r="B185" s="160"/>
      <c r="C185" s="132" t="s">
        <v>64</v>
      </c>
      <c r="G185" s="172" t="str">
        <f>IF((F184/1000000000)*(VLOOKUP(B184,Density_Config,2,FALSE)*3.785=0),"",((F184/1000000000)*(VLOOKUP(B184,Density_Config,2,FALSE))*3.785))</f>
        <v/>
      </c>
      <c r="H185" s="118"/>
      <c r="I185" s="118"/>
    </row>
    <row r="186" spans="2:9" ht="13.8" thickBot="1" x14ac:dyDescent="0.3">
      <c r="B186" s="161"/>
      <c r="C186" s="152" t="s">
        <v>65</v>
      </c>
      <c r="D186" s="277"/>
      <c r="E186" s="277"/>
      <c r="F186" s="295"/>
      <c r="G186" s="173" t="str">
        <f>IF((F184/1000000000)*(VLOOKUP(B184,Density_Config,2,FALSE))=0,"",((F184/1000000000)*(VLOOKUP(B184,Density_Config,2,FALSE))))</f>
        <v/>
      </c>
      <c r="H186" s="118"/>
      <c r="I186" s="118"/>
    </row>
    <row r="187" spans="2:9" ht="13.8" thickBot="1" x14ac:dyDescent="0.3">
      <c r="B187" s="29" t="s">
        <v>664</v>
      </c>
      <c r="H187" s="118"/>
      <c r="I187" s="118"/>
    </row>
    <row r="188" spans="2:9" ht="40.200000000000003" thickBot="1" x14ac:dyDescent="0.3">
      <c r="B188" s="164" t="s">
        <v>62</v>
      </c>
      <c r="C188" s="165" t="s">
        <v>68</v>
      </c>
      <c r="D188" s="278" t="s">
        <v>71</v>
      </c>
      <c r="E188" s="278" t="s">
        <v>70</v>
      </c>
      <c r="F188" s="297" t="s">
        <v>69</v>
      </c>
      <c r="G188" s="174" t="s">
        <v>508</v>
      </c>
      <c r="H188" s="118"/>
      <c r="I188" s="118"/>
    </row>
    <row r="189" spans="2:9" x14ac:dyDescent="0.25">
      <c r="B189" s="162" t="str">
        <f>C49</f>
        <v>Sulphite lyes (Black liquor)</v>
      </c>
      <c r="C189" s="163" t="s">
        <v>63</v>
      </c>
      <c r="D189" s="181">
        <f>VLOOKUP(B189,fuelInfo,3,FALSE)</f>
        <v>95300</v>
      </c>
      <c r="E189" s="181">
        <f>VLOOKUP(B189,fuelInfo,4,FALSE)</f>
        <v>11.8</v>
      </c>
      <c r="F189" s="296">
        <f>D189*E189</f>
        <v>1124540</v>
      </c>
      <c r="G189" s="172" t="str">
        <f>IF(((F189/1000000000)*(VLOOKUP(B189,Density_Config,2,FALSE))*158.99)=0,"",((F189/1000000000)*(VLOOKUP(B189,Density_Config,2,FALSE))*158.99))</f>
        <v/>
      </c>
      <c r="H189" s="118"/>
      <c r="I189" s="118"/>
    </row>
    <row r="190" spans="2:9" x14ac:dyDescent="0.25">
      <c r="B190" s="160"/>
      <c r="C190" s="132" t="s">
        <v>64</v>
      </c>
      <c r="G190" s="172" t="str">
        <f>IF((F189/1000000000)*(VLOOKUP(B189,Density_Config,2,FALSE)*3.785=0),"",((F189/1000000000)*(VLOOKUP(B189,Density_Config,2,FALSE))*3.785))</f>
        <v/>
      </c>
      <c r="H190" s="118"/>
      <c r="I190" s="118"/>
    </row>
    <row r="191" spans="2:9" ht="13.8" thickBot="1" x14ac:dyDescent="0.3">
      <c r="B191" s="161"/>
      <c r="C191" s="152" t="s">
        <v>65</v>
      </c>
      <c r="D191" s="277"/>
      <c r="E191" s="277"/>
      <c r="F191" s="295"/>
      <c r="G191" s="173" t="str">
        <f>IF((F189/1000000000)*(VLOOKUP(B189,Density_Config,2,FALSE))=0,"",((F189/1000000000)*(VLOOKUP(B189,Density_Config,2,FALSE))))</f>
        <v/>
      </c>
      <c r="H191" s="118"/>
      <c r="I191" s="118"/>
    </row>
    <row r="192" spans="2:9" ht="13.8" thickBot="1" x14ac:dyDescent="0.3">
      <c r="B192" s="29" t="s">
        <v>665</v>
      </c>
      <c r="H192" s="118"/>
      <c r="I192" s="118"/>
    </row>
    <row r="193" spans="2:9" ht="40.200000000000003" thickBot="1" x14ac:dyDescent="0.3">
      <c r="B193" s="164" t="s">
        <v>62</v>
      </c>
      <c r="C193" s="165" t="s">
        <v>68</v>
      </c>
      <c r="D193" s="278" t="s">
        <v>71</v>
      </c>
      <c r="E193" s="278" t="s">
        <v>70</v>
      </c>
      <c r="F193" s="297" t="s">
        <v>69</v>
      </c>
      <c r="G193" s="174" t="s">
        <v>508</v>
      </c>
      <c r="H193" s="118"/>
      <c r="I193" s="118"/>
    </row>
    <row r="194" spans="2:9" x14ac:dyDescent="0.25">
      <c r="B194" s="162" t="str">
        <f>C47</f>
        <v>Waste oils</v>
      </c>
      <c r="C194" s="163" t="s">
        <v>63</v>
      </c>
      <c r="D194" s="181">
        <f>VLOOKUP(B194,fuelInfo,3,FALSE)</f>
        <v>73300</v>
      </c>
      <c r="E194" s="181">
        <f>VLOOKUP(B194,fuelInfo,4,FALSE)</f>
        <v>40.200000000000003</v>
      </c>
      <c r="F194" s="296">
        <f>D194*E194</f>
        <v>2946660</v>
      </c>
      <c r="G194" s="172" t="str">
        <f>IF(((F194/1000000000)*(VLOOKUP(B194,Density_Config,2,FALSE))*158.99)=0,"",((F194/1000000000)*(VLOOKUP(B194,Density_Config,2,FALSE))*158.99))</f>
        <v/>
      </c>
      <c r="H194" s="118"/>
      <c r="I194" s="118"/>
    </row>
    <row r="195" spans="2:9" x14ac:dyDescent="0.25">
      <c r="B195" s="160"/>
      <c r="C195" s="132" t="s">
        <v>64</v>
      </c>
      <c r="G195" s="172" t="str">
        <f>IF((F194/1000000000)*(VLOOKUP(B194,Density_Config,2,FALSE)*3.785=0),"",((F194/1000000000)*(VLOOKUP(B194,Density_Config,2,FALSE))*3.785))</f>
        <v/>
      </c>
      <c r="H195" s="118"/>
      <c r="I195" s="118"/>
    </row>
    <row r="196" spans="2:9" ht="13.8" thickBot="1" x14ac:dyDescent="0.3">
      <c r="B196" s="161"/>
      <c r="C196" s="152" t="s">
        <v>65</v>
      </c>
      <c r="D196" s="277"/>
      <c r="E196" s="277"/>
      <c r="F196" s="295"/>
      <c r="G196" s="173" t="str">
        <f>IF((F194/1000000000)*(VLOOKUP(B194,Density_Config,2,FALSE))=0,"",((F194/1000000000)*(VLOOKUP(B194,Density_Config,2,FALSE))))</f>
        <v/>
      </c>
      <c r="H196" s="118"/>
      <c r="I196" s="118"/>
    </row>
    <row r="197" spans="2:9" ht="13.8" thickBot="1" x14ac:dyDescent="0.3">
      <c r="B197" s="29" t="s">
        <v>666</v>
      </c>
      <c r="H197" s="118"/>
      <c r="I197" s="118"/>
    </row>
    <row r="198" spans="2:9" ht="40.200000000000003" thickBot="1" x14ac:dyDescent="0.3">
      <c r="B198" s="164" t="s">
        <v>62</v>
      </c>
      <c r="C198" s="165" t="s">
        <v>68</v>
      </c>
      <c r="D198" s="278" t="s">
        <v>71</v>
      </c>
      <c r="E198" s="278" t="s">
        <v>70</v>
      </c>
      <c r="F198" s="297" t="s">
        <v>69</v>
      </c>
      <c r="G198" s="174" t="s">
        <v>508</v>
      </c>
      <c r="H198" s="118"/>
      <c r="I198" s="118"/>
    </row>
    <row r="199" spans="2:9" x14ac:dyDescent="0.25">
      <c r="B199" s="160" t="str">
        <f>C26</f>
        <v>White Spirit/SBP</v>
      </c>
      <c r="C199" s="132" t="s">
        <v>63</v>
      </c>
      <c r="D199" s="135">
        <f>VLOOKUP(B199,fuelInfo,3,FALSE)</f>
        <v>73300</v>
      </c>
      <c r="E199" s="135">
        <f>VLOOKUP(B199,fuelInfo,4,FALSE)</f>
        <v>40.200000000000003</v>
      </c>
      <c r="F199" s="287">
        <f>D199*E199</f>
        <v>2946660</v>
      </c>
      <c r="G199" s="172" t="str">
        <f>IF(((F199/1000000000)*(VLOOKUP(B199,Density_Config,2,FALSE))*158.99)=0,"",((F199/1000000000)*(VLOOKUP(B199,Density_Config,2,FALSE))*158.99))</f>
        <v/>
      </c>
      <c r="H199" s="118"/>
      <c r="I199" s="118"/>
    </row>
    <row r="200" spans="2:9" x14ac:dyDescent="0.25">
      <c r="B200" s="160"/>
      <c r="C200" s="132" t="s">
        <v>64</v>
      </c>
      <c r="G200" s="172" t="str">
        <f>IF((F199/1000000000)*(VLOOKUP(B199,Density_Config,2,FALSE)*3.785=0),"",((F199/1000000000)*(VLOOKUP(B199,Density_Config,2,FALSE))*3.785))</f>
        <v/>
      </c>
      <c r="H200" s="118"/>
      <c r="I200" s="118"/>
    </row>
    <row r="201" spans="2:9" ht="13.8" thickBot="1" x14ac:dyDescent="0.3">
      <c r="B201" s="161"/>
      <c r="C201" s="152" t="s">
        <v>65</v>
      </c>
      <c r="D201" s="277"/>
      <c r="E201" s="277"/>
      <c r="F201" s="295"/>
      <c r="G201" s="173" t="str">
        <f>IF((F199/1000000000)*(VLOOKUP(B199,Density_Config,2,FALSE))=0,"",((F199/1000000000)*(VLOOKUP(B199,Density_Config,2,FALSE))))</f>
        <v/>
      </c>
      <c r="H201" s="118"/>
      <c r="I201" s="118"/>
    </row>
    <row r="202" spans="2:9" x14ac:dyDescent="0.25">
      <c r="B202"/>
      <c r="C202"/>
      <c r="D202" s="118"/>
      <c r="E202" s="118"/>
      <c r="F202" s="136"/>
      <c r="G202"/>
      <c r="H202"/>
      <c r="I202"/>
    </row>
    <row r="203" spans="2:9" ht="36.75" customHeight="1" x14ac:dyDescent="0.25">
      <c r="B203" s="666" t="s">
        <v>694</v>
      </c>
      <c r="C203" s="666"/>
      <c r="D203" s="666"/>
      <c r="E203" s="666"/>
      <c r="F203" s="666"/>
      <c r="G203" s="666"/>
      <c r="H203" s="118"/>
      <c r="I203" s="118"/>
    </row>
    <row r="204" spans="2:9" x14ac:dyDescent="0.25">
      <c r="B204"/>
      <c r="C204"/>
      <c r="D204" s="118"/>
      <c r="E204" s="118"/>
      <c r="F204" s="136"/>
      <c r="G204" s="118"/>
      <c r="H204" s="118"/>
      <c r="I204" s="118"/>
    </row>
    <row r="205" spans="2:9" ht="13.8" thickBot="1" x14ac:dyDescent="0.3">
      <c r="B205" s="170" t="s">
        <v>630</v>
      </c>
      <c r="H205" s="118"/>
      <c r="I205" s="118"/>
    </row>
    <row r="206" spans="2:9" ht="40.200000000000003" thickBot="1" x14ac:dyDescent="0.3">
      <c r="B206" s="158" t="s">
        <v>62</v>
      </c>
      <c r="C206" s="159" t="s">
        <v>68</v>
      </c>
      <c r="D206" s="276" t="s">
        <v>71</v>
      </c>
      <c r="E206" s="276" t="s">
        <v>70</v>
      </c>
      <c r="F206" s="294" t="s">
        <v>69</v>
      </c>
      <c r="G206" s="174" t="s">
        <v>508</v>
      </c>
      <c r="H206" s="118"/>
      <c r="I206" s="118"/>
    </row>
    <row r="207" spans="2:9" x14ac:dyDescent="0.25">
      <c r="B207" s="162" t="str">
        <f>C44</f>
        <v>Natural gas</v>
      </c>
      <c r="C207" s="163" t="s">
        <v>66</v>
      </c>
      <c r="D207" s="181">
        <f>VLOOKUP(B207,fuelInfo,3,FALSE)</f>
        <v>56100</v>
      </c>
      <c r="E207" s="181">
        <f>VLOOKUP(B207,fuelInfo,4,FALSE)</f>
        <v>48</v>
      </c>
      <c r="F207" s="296">
        <f>D207*E207</f>
        <v>2692800</v>
      </c>
      <c r="G207" s="251">
        <f>IF(((F207/1000000000)*(VLOOKUP(B207,Density_Config,2,FALSE))*0.02832)=0,"",(F207/1000000000)*(VLOOKUP(B207,Density_Config,2,FALSE))*0.02832)</f>
        <v>5.3382067199999998E-5</v>
      </c>
      <c r="H207" s="118"/>
      <c r="I207" s="118"/>
    </row>
    <row r="208" spans="2:9" ht="13.8" thickBot="1" x14ac:dyDescent="0.3">
      <c r="B208" s="161"/>
      <c r="C208" s="152" t="s">
        <v>67</v>
      </c>
      <c r="D208" s="277"/>
      <c r="E208" s="277"/>
      <c r="F208" s="295"/>
      <c r="G208" s="252">
        <f>IF((F207/1000000000)*(VLOOKUP(B207,Density_Config,2,FALSE))=0,"",(F207/1000000000)*(VLOOKUP(B207,Density_Config,2,FALSE)))</f>
        <v>1.8849599999999998E-3</v>
      </c>
      <c r="H208" s="118"/>
      <c r="I208" s="118"/>
    </row>
    <row r="209" spans="2:9" ht="13.8" thickBot="1" x14ac:dyDescent="0.3">
      <c r="B209" s="170" t="s">
        <v>631</v>
      </c>
      <c r="H209" s="118"/>
      <c r="I209" s="118"/>
    </row>
    <row r="210" spans="2:9" ht="40.200000000000003" thickBot="1" x14ac:dyDescent="0.3">
      <c r="B210" s="158" t="s">
        <v>62</v>
      </c>
      <c r="C210" s="159" t="s">
        <v>68</v>
      </c>
      <c r="D210" s="276" t="s">
        <v>71</v>
      </c>
      <c r="E210" s="276" t="s">
        <v>70</v>
      </c>
      <c r="F210" s="294" t="s">
        <v>69</v>
      </c>
      <c r="G210" s="174" t="s">
        <v>508</v>
      </c>
      <c r="H210" s="118"/>
      <c r="I210" s="118"/>
    </row>
    <row r="211" spans="2:9" x14ac:dyDescent="0.25">
      <c r="B211" s="162" t="str">
        <f>C55</f>
        <v>Landfill gas</v>
      </c>
      <c r="C211" s="163" t="s">
        <v>66</v>
      </c>
      <c r="D211" s="181">
        <f>VLOOKUP(B211,fuelInfo,3,FALSE)</f>
        <v>54600</v>
      </c>
      <c r="E211" s="181">
        <f>VLOOKUP(B211,fuelInfo,4,FALSE)</f>
        <v>50.4</v>
      </c>
      <c r="F211" s="296">
        <f>D211*E211</f>
        <v>2751840</v>
      </c>
      <c r="G211" s="251" t="str">
        <f>IF(((F211/1000000000)*(VLOOKUP(B211,Density_Config,2,FALSE))*0.02832)=0,"",(F211/1000000000)*(VLOOKUP(B211,Density_Config,2,FALSE))*0.02832)</f>
        <v/>
      </c>
      <c r="H211" s="118"/>
      <c r="I211" s="118"/>
    </row>
    <row r="212" spans="2:9" ht="13.8" thickBot="1" x14ac:dyDescent="0.3">
      <c r="B212" s="161"/>
      <c r="C212" s="152" t="s">
        <v>67</v>
      </c>
      <c r="D212" s="277"/>
      <c r="E212" s="277"/>
      <c r="F212" s="295"/>
      <c r="G212" s="252" t="str">
        <f>IF((F211/1000000000)*(VLOOKUP(B211,Density_Config,2,FALSE))=0,"",(F211/1000000000)*(VLOOKUP(B211,Density_Config,2,FALSE)))</f>
        <v/>
      </c>
      <c r="H212" s="118"/>
      <c r="I212" s="118"/>
    </row>
    <row r="213" spans="2:9" ht="13.8" thickBot="1" x14ac:dyDescent="0.3">
      <c r="B213" s="170" t="s">
        <v>667</v>
      </c>
      <c r="H213" s="118"/>
      <c r="I213" s="118"/>
    </row>
    <row r="214" spans="2:9" ht="40.200000000000003" thickBot="1" x14ac:dyDescent="0.3">
      <c r="B214" s="164" t="s">
        <v>62</v>
      </c>
      <c r="C214" s="165" t="s">
        <v>68</v>
      </c>
      <c r="D214" s="278" t="s">
        <v>71</v>
      </c>
      <c r="E214" s="278" t="s">
        <v>70</v>
      </c>
      <c r="F214" s="297" t="s">
        <v>69</v>
      </c>
      <c r="G214" s="174" t="s">
        <v>508</v>
      </c>
      <c r="H214" s="118"/>
      <c r="I214" s="118"/>
    </row>
    <row r="215" spans="2:9" x14ac:dyDescent="0.25">
      <c r="B215" s="162" t="str">
        <f>C40</f>
        <v>Gas works gas</v>
      </c>
      <c r="C215" s="163" t="s">
        <v>66</v>
      </c>
      <c r="D215" s="181">
        <f>VLOOKUP(B215,fuelInfo,3,FALSE)</f>
        <v>44400</v>
      </c>
      <c r="E215" s="181">
        <f>VLOOKUP(B215,fuelInfo,4,FALSE)</f>
        <v>38.700000000000003</v>
      </c>
      <c r="F215" s="296">
        <f>D215*E215</f>
        <v>1718280.0000000002</v>
      </c>
      <c r="G215" s="175" t="str">
        <f>IF(((F215/1000000000)*(VLOOKUP(B215,Density_Config,2,FALSE))*0.02832)=0,"",(F215/1000000000)*(VLOOKUP(B215,Density_Config,2,FALSE))*0.02832)</f>
        <v/>
      </c>
      <c r="H215" s="118"/>
      <c r="I215" s="118"/>
    </row>
    <row r="216" spans="2:9" ht="13.8" thickBot="1" x14ac:dyDescent="0.3">
      <c r="B216" s="161"/>
      <c r="C216" s="152" t="s">
        <v>67</v>
      </c>
      <c r="D216" s="277"/>
      <c r="E216" s="277"/>
      <c r="F216" s="295"/>
      <c r="G216" s="176" t="str">
        <f>IF((F215/1000000000)*(VLOOKUP(B215,Density_Config,2,FALSE))=0,"",(F215/1000000000)*(VLOOKUP(B215,Density_Config,2,FALSE)))</f>
        <v/>
      </c>
      <c r="H216" s="118"/>
      <c r="I216" s="118"/>
    </row>
    <row r="217" spans="2:9" ht="13.8" thickBot="1" x14ac:dyDescent="0.3">
      <c r="B217" s="170" t="s">
        <v>669</v>
      </c>
      <c r="H217" s="118"/>
      <c r="I217" s="118"/>
    </row>
    <row r="218" spans="2:9" ht="40.200000000000003" thickBot="1" x14ac:dyDescent="0.3">
      <c r="B218" s="158" t="s">
        <v>62</v>
      </c>
      <c r="C218" s="159" t="s">
        <v>68</v>
      </c>
      <c r="D218" s="276" t="s">
        <v>71</v>
      </c>
      <c r="E218" s="276" t="s">
        <v>70</v>
      </c>
      <c r="F218" s="294" t="s">
        <v>69</v>
      </c>
      <c r="G218" s="174" t="s">
        <v>508</v>
      </c>
      <c r="H218" s="118"/>
      <c r="I218" s="118"/>
    </row>
    <row r="219" spans="2:9" x14ac:dyDescent="0.25">
      <c r="B219" s="162" t="str">
        <f>C41</f>
        <v>Coke oven gas</v>
      </c>
      <c r="C219" s="163" t="s">
        <v>66</v>
      </c>
      <c r="D219" s="181">
        <f>VLOOKUP(B219,fuelInfo,3,FALSE)</f>
        <v>44400</v>
      </c>
      <c r="E219" s="181">
        <f>VLOOKUP(B219,fuelInfo,4,FALSE)</f>
        <v>38.700000000000003</v>
      </c>
      <c r="F219" s="296">
        <f>D219*E219</f>
        <v>1718280.0000000002</v>
      </c>
      <c r="G219" s="251" t="str">
        <f>IF(((F219/1000000000)*(VLOOKUP(B219,Density_Config,2,FALSE))*0.02832)=0,"",(F219/1000000000)*(VLOOKUP(B219,Density_Config,2,FALSE))*0.02832)</f>
        <v/>
      </c>
      <c r="H219" s="118"/>
      <c r="I219" s="118"/>
    </row>
    <row r="220" spans="2:9" ht="13.8" thickBot="1" x14ac:dyDescent="0.3">
      <c r="B220" s="161"/>
      <c r="C220" s="152" t="s">
        <v>67</v>
      </c>
      <c r="D220" s="277"/>
      <c r="E220" s="277"/>
      <c r="F220" s="295"/>
      <c r="G220" s="252" t="str">
        <f>IF((F219/1000000000)*(VLOOKUP(B219,Density_Config,2,FALSE))=0,"",(F219/1000000000)*(VLOOKUP(B219,Density_Config,2,FALSE)))</f>
        <v/>
      </c>
      <c r="H220" s="118"/>
      <c r="I220" s="118"/>
    </row>
    <row r="221" spans="2:9" ht="13.8" thickBot="1" x14ac:dyDescent="0.3">
      <c r="B221" s="170" t="s">
        <v>668</v>
      </c>
      <c r="H221" s="118"/>
      <c r="I221" s="118"/>
    </row>
    <row r="222" spans="2:9" ht="40.200000000000003" thickBot="1" x14ac:dyDescent="0.3">
      <c r="B222" s="158" t="s">
        <v>62</v>
      </c>
      <c r="C222" s="159" t="s">
        <v>68</v>
      </c>
      <c r="D222" s="276" t="s">
        <v>71</v>
      </c>
      <c r="E222" s="276" t="s">
        <v>70</v>
      </c>
      <c r="F222" s="294" t="s">
        <v>69</v>
      </c>
      <c r="G222" s="174" t="s">
        <v>508</v>
      </c>
      <c r="H222" s="118"/>
      <c r="I222" s="118"/>
    </row>
    <row r="223" spans="2:9" x14ac:dyDescent="0.25">
      <c r="B223" s="162" t="str">
        <f>C42</f>
        <v>Blast furnace gas</v>
      </c>
      <c r="C223" s="163" t="s">
        <v>66</v>
      </c>
      <c r="D223" s="181">
        <f>VLOOKUP(B223,fuelInfo,3,FALSE)</f>
        <v>260000</v>
      </c>
      <c r="E223" s="181">
        <f>VLOOKUP(B223,fuelInfo,4,FALSE)</f>
        <v>2.4700000000000002</v>
      </c>
      <c r="F223" s="296">
        <f>D223*E223</f>
        <v>642200</v>
      </c>
      <c r="G223" s="251" t="str">
        <f>IF(((F223/1000000000)*(VLOOKUP(B223,Density_Config,2,FALSE))*0.02832)=0,"",(F223/1000000000)*(VLOOKUP(B223,Density_Config,2,FALSE))*0.02832)</f>
        <v/>
      </c>
      <c r="H223" s="118"/>
      <c r="I223" s="118"/>
    </row>
    <row r="224" spans="2:9" ht="13.8" thickBot="1" x14ac:dyDescent="0.3">
      <c r="B224" s="161"/>
      <c r="C224" s="152" t="s">
        <v>67</v>
      </c>
      <c r="D224" s="277"/>
      <c r="E224" s="277"/>
      <c r="F224" s="295"/>
      <c r="G224" s="252" t="str">
        <f>IF((F223/1000000000)*(VLOOKUP(B223,Density_Config,2,FALSE))=0,"",(F223/1000000000)*(VLOOKUP(B223,Density_Config,2,FALSE)))</f>
        <v/>
      </c>
      <c r="H224" s="118"/>
      <c r="I224" s="118"/>
    </row>
    <row r="225" spans="2:20" ht="13.8" thickBot="1" x14ac:dyDescent="0.3">
      <c r="B225" s="170" t="s">
        <v>670</v>
      </c>
      <c r="H225" s="118"/>
      <c r="I225" s="118"/>
    </row>
    <row r="226" spans="2:20" ht="40.200000000000003" thickBot="1" x14ac:dyDescent="0.3">
      <c r="B226" s="158" t="s">
        <v>62</v>
      </c>
      <c r="C226" s="159" t="s">
        <v>68</v>
      </c>
      <c r="D226" s="276" t="s">
        <v>71</v>
      </c>
      <c r="E226" s="276" t="s">
        <v>70</v>
      </c>
      <c r="F226" s="294" t="s">
        <v>69</v>
      </c>
      <c r="G226" s="174" t="s">
        <v>508</v>
      </c>
      <c r="H226" s="118"/>
      <c r="I226" s="118"/>
    </row>
    <row r="227" spans="2:20" x14ac:dyDescent="0.25">
      <c r="B227" s="162" t="str">
        <f>C43</f>
        <v>Oxygen steel furnace gas</v>
      </c>
      <c r="C227" s="163" t="s">
        <v>66</v>
      </c>
      <c r="D227" s="181">
        <f>VLOOKUP(B227,fuelInfo,3,FALSE)</f>
        <v>182000</v>
      </c>
      <c r="E227" s="181">
        <f>VLOOKUP(B227,fuelInfo,4,FALSE)</f>
        <v>7.06</v>
      </c>
      <c r="F227" s="296">
        <f>D227*E227</f>
        <v>1284920</v>
      </c>
      <c r="G227" s="251" t="str">
        <f>IF(((F227/1000000000)*(VLOOKUP(B227,Density_Config,2,FALSE))*0.02832)=0,"",(F227/1000000000)*(VLOOKUP(B227,Density_Config,2,FALSE))*0.02832)</f>
        <v/>
      </c>
      <c r="H227" s="118"/>
      <c r="I227" s="118"/>
    </row>
    <row r="228" spans="2:20" ht="13.8" thickBot="1" x14ac:dyDescent="0.3">
      <c r="B228" s="161"/>
      <c r="C228" s="152" t="s">
        <v>67</v>
      </c>
      <c r="D228" s="277"/>
      <c r="E228" s="277"/>
      <c r="F228" s="295"/>
      <c r="G228" s="252" t="str">
        <f>IF((F227/1000000000)*(VLOOKUP(B227,Density_Config,2,FALSE))=0,"",(F227/1000000000)*(VLOOKUP(B227,Density_Config,2,FALSE)))</f>
        <v/>
      </c>
      <c r="H228" s="118"/>
      <c r="I228" s="118"/>
    </row>
    <row r="229" spans="2:20" ht="13.8" thickBot="1" x14ac:dyDescent="0.3">
      <c r="B229" s="170" t="s">
        <v>671</v>
      </c>
      <c r="H229" s="118"/>
      <c r="I229" s="118"/>
    </row>
    <row r="230" spans="2:20" ht="40.200000000000003" thickBot="1" x14ac:dyDescent="0.3">
      <c r="B230" s="158" t="s">
        <v>62</v>
      </c>
      <c r="C230" s="159" t="s">
        <v>68</v>
      </c>
      <c r="D230" s="276" t="s">
        <v>71</v>
      </c>
      <c r="E230" s="276" t="s">
        <v>70</v>
      </c>
      <c r="F230" s="294" t="s">
        <v>69</v>
      </c>
      <c r="G230" s="174" t="s">
        <v>508</v>
      </c>
      <c r="H230" s="118"/>
      <c r="I230" s="118"/>
    </row>
    <row r="231" spans="2:20" x14ac:dyDescent="0.25">
      <c r="B231" s="162" t="str">
        <f>C56</f>
        <v>Sludge gas</v>
      </c>
      <c r="C231" s="163" t="s">
        <v>66</v>
      </c>
      <c r="D231" s="181">
        <f>VLOOKUP(B231,fuelInfo,3,FALSE)</f>
        <v>54600</v>
      </c>
      <c r="E231" s="181">
        <f>VLOOKUP(B231,fuelInfo,4,FALSE)</f>
        <v>50.4</v>
      </c>
      <c r="F231" s="296">
        <f>D231*E231</f>
        <v>2751840</v>
      </c>
      <c r="G231" s="251" t="str">
        <f>IF(((F231/1000000000)*(VLOOKUP(B231,Density_Config,2,FALSE))*0.02832)=0,"",(F231/1000000000)*(VLOOKUP(B231,Density_Config,2,FALSE))*0.02832)</f>
        <v/>
      </c>
      <c r="H231" s="118"/>
      <c r="I231" s="118"/>
    </row>
    <row r="232" spans="2:20" ht="13.8" thickBot="1" x14ac:dyDescent="0.3">
      <c r="B232" s="161"/>
      <c r="C232" s="152" t="s">
        <v>67</v>
      </c>
      <c r="D232" s="277"/>
      <c r="E232" s="277"/>
      <c r="F232" s="295"/>
      <c r="G232" s="252" t="str">
        <f>IF((F231/1000000000)*(VLOOKUP(B231,Density_Config,2,FALSE))=0,"",(F231/1000000000)*(VLOOKUP(B231,Density_Config,2,FALSE)))</f>
        <v/>
      </c>
      <c r="H232" s="118"/>
      <c r="I232" s="118"/>
    </row>
    <row r="233" spans="2:20" ht="13.8" thickBot="1" x14ac:dyDescent="0.3">
      <c r="B233" s="170" t="s">
        <v>672</v>
      </c>
      <c r="H233" s="118"/>
      <c r="I233" s="118"/>
    </row>
    <row r="234" spans="2:20" ht="40.200000000000003" thickBot="1" x14ac:dyDescent="0.3">
      <c r="B234" s="158" t="s">
        <v>62</v>
      </c>
      <c r="C234" s="159" t="s">
        <v>68</v>
      </c>
      <c r="D234" s="276" t="s">
        <v>71</v>
      </c>
      <c r="E234" s="276" t="s">
        <v>70</v>
      </c>
      <c r="F234" s="294" t="s">
        <v>69</v>
      </c>
      <c r="G234" s="174" t="s">
        <v>508</v>
      </c>
      <c r="H234" s="118"/>
      <c r="I234" s="118"/>
    </row>
    <row r="235" spans="2:20" x14ac:dyDescent="0.25">
      <c r="B235" s="162" t="str">
        <f>C57</f>
        <v>Other biogas</v>
      </c>
      <c r="C235" s="163" t="s">
        <v>66</v>
      </c>
      <c r="D235" s="181">
        <f>VLOOKUP(B235,fuelInfo,3,FALSE)</f>
        <v>54600</v>
      </c>
      <c r="E235" s="181">
        <f>VLOOKUP(B235,fuelInfo,4,FALSE)</f>
        <v>50.4</v>
      </c>
      <c r="F235" s="296">
        <f>D235*E235</f>
        <v>2751840</v>
      </c>
      <c r="G235" s="251" t="str">
        <f>IF(((F235/1000000000)*(VLOOKUP(B235,Density_Config,2,FALSE))*0.02832)=0,"",(F235/1000000000)*(VLOOKUP(B235,Density_Config,2,FALSE))*0.02832)</f>
        <v/>
      </c>
      <c r="H235" s="118"/>
      <c r="I235" s="118"/>
    </row>
    <row r="236" spans="2:20" ht="13.8" thickBot="1" x14ac:dyDescent="0.3">
      <c r="B236" s="161"/>
      <c r="C236" s="152" t="s">
        <v>67</v>
      </c>
      <c r="D236" s="277"/>
      <c r="E236" s="277"/>
      <c r="F236" s="295"/>
      <c r="G236" s="252" t="str">
        <f>IF((F235/1000000000)*(VLOOKUP(B235,Density_Config,2,FALSE))=0,"",(F235/1000000000)*(VLOOKUP(B235,Density_Config,2,FALSE)))</f>
        <v/>
      </c>
      <c r="H236" s="118"/>
      <c r="I236" s="118"/>
    </row>
    <row r="237" spans="2:20" x14ac:dyDescent="0.25">
      <c r="G237" s="258"/>
      <c r="H237" s="118"/>
      <c r="I237" s="118"/>
    </row>
    <row r="238" spans="2:20" ht="33.75" customHeight="1" x14ac:dyDescent="0.25">
      <c r="B238" s="680" t="s">
        <v>632</v>
      </c>
      <c r="C238" s="680"/>
      <c r="D238" s="680"/>
      <c r="E238" s="680"/>
      <c r="F238" s="680"/>
      <c r="G238" s="680"/>
      <c r="H238" s="118"/>
      <c r="I238" s="118"/>
    </row>
    <row r="239" spans="2:20" ht="13.8" thickBot="1" x14ac:dyDescent="0.3"/>
    <row r="240" spans="2:20" s="245" customFormat="1" ht="40.200000000000003" thickBot="1" x14ac:dyDescent="0.3">
      <c r="B240" s="302" t="s">
        <v>25</v>
      </c>
      <c r="C240" s="303" t="s">
        <v>407</v>
      </c>
      <c r="D240" s="302" t="s">
        <v>410</v>
      </c>
      <c r="E240" s="302" t="s">
        <v>27</v>
      </c>
      <c r="F240" s="304" t="s">
        <v>387</v>
      </c>
      <c r="G240" s="302" t="s">
        <v>388</v>
      </c>
      <c r="H240" s="302" t="s">
        <v>389</v>
      </c>
      <c r="I240" s="302" t="s">
        <v>28</v>
      </c>
      <c r="J240" s="302" t="s">
        <v>390</v>
      </c>
      <c r="K240" s="302" t="s">
        <v>391</v>
      </c>
      <c r="L240" s="302" t="s">
        <v>392</v>
      </c>
      <c r="M240" s="302" t="s">
        <v>413</v>
      </c>
      <c r="N240" s="302" t="s">
        <v>414</v>
      </c>
      <c r="O240" s="302" t="s">
        <v>426</v>
      </c>
      <c r="P240" s="302" t="s">
        <v>394</v>
      </c>
      <c r="Q240" s="302" t="s">
        <v>421</v>
      </c>
      <c r="R240" s="302" t="s">
        <v>30</v>
      </c>
      <c r="S240" s="302" t="s">
        <v>427</v>
      </c>
      <c r="T240" s="303" t="s">
        <v>33</v>
      </c>
    </row>
    <row r="241" spans="2:20" x14ac:dyDescent="0.25">
      <c r="B241" s="305" t="s">
        <v>85</v>
      </c>
      <c r="C241" s="305" t="s">
        <v>85</v>
      </c>
      <c r="D241" s="305" t="s">
        <v>85</v>
      </c>
      <c r="E241" s="305" t="s">
        <v>85</v>
      </c>
      <c r="F241" s="306" t="s">
        <v>85</v>
      </c>
      <c r="G241" s="305" t="s">
        <v>85</v>
      </c>
      <c r="H241" s="307" t="s">
        <v>85</v>
      </c>
      <c r="I241" s="307" t="s">
        <v>85</v>
      </c>
      <c r="J241" s="307" t="s">
        <v>85</v>
      </c>
      <c r="K241" s="307" t="s">
        <v>85</v>
      </c>
      <c r="L241" s="307" t="s">
        <v>85</v>
      </c>
      <c r="M241" s="307" t="s">
        <v>85</v>
      </c>
      <c r="N241" s="307" t="s">
        <v>85</v>
      </c>
      <c r="O241" s="307" t="s">
        <v>85</v>
      </c>
      <c r="P241" s="307" t="s">
        <v>85</v>
      </c>
      <c r="Q241" s="307" t="s">
        <v>85</v>
      </c>
      <c r="R241" s="307" t="s">
        <v>85</v>
      </c>
      <c r="S241" s="307" t="s">
        <v>85</v>
      </c>
      <c r="T241" s="307" t="s">
        <v>85</v>
      </c>
    </row>
    <row r="242" spans="2:20" x14ac:dyDescent="0.25">
      <c r="B242" s="305" t="s">
        <v>86</v>
      </c>
      <c r="C242" s="305" t="s">
        <v>86</v>
      </c>
      <c r="D242" s="305" t="s">
        <v>86</v>
      </c>
      <c r="E242" s="305" t="s">
        <v>86</v>
      </c>
      <c r="F242" s="306" t="s">
        <v>86</v>
      </c>
      <c r="G242" s="305" t="s">
        <v>86</v>
      </c>
      <c r="H242" s="307" t="s">
        <v>86</v>
      </c>
      <c r="I242" s="307" t="s">
        <v>86</v>
      </c>
      <c r="J242" s="307" t="s">
        <v>86</v>
      </c>
      <c r="K242" s="307" t="s">
        <v>86</v>
      </c>
      <c r="L242" s="307" t="s">
        <v>86</v>
      </c>
      <c r="M242" s="307" t="s">
        <v>86</v>
      </c>
      <c r="N242" s="307" t="s">
        <v>86</v>
      </c>
      <c r="O242" s="307" t="s">
        <v>86</v>
      </c>
      <c r="P242" s="307" t="s">
        <v>86</v>
      </c>
      <c r="Q242" s="307" t="s">
        <v>86</v>
      </c>
      <c r="R242" s="307" t="s">
        <v>86</v>
      </c>
      <c r="S242" s="307" t="s">
        <v>86</v>
      </c>
      <c r="T242" s="307" t="s">
        <v>86</v>
      </c>
    </row>
    <row r="243" spans="2:20" x14ac:dyDescent="0.25">
      <c r="B243" s="305" t="s">
        <v>60</v>
      </c>
      <c r="C243" s="305" t="s">
        <v>60</v>
      </c>
      <c r="D243" s="305" t="s">
        <v>60</v>
      </c>
      <c r="E243" s="305" t="s">
        <v>60</v>
      </c>
      <c r="F243" s="306" t="s">
        <v>60</v>
      </c>
      <c r="G243" s="305" t="s">
        <v>60</v>
      </c>
      <c r="H243" s="307" t="s">
        <v>60</v>
      </c>
      <c r="I243" s="307" t="s">
        <v>60</v>
      </c>
      <c r="J243" s="307" t="s">
        <v>60</v>
      </c>
      <c r="K243" s="307" t="s">
        <v>60</v>
      </c>
      <c r="L243" s="307" t="s">
        <v>60</v>
      </c>
      <c r="M243" s="307" t="s">
        <v>60</v>
      </c>
      <c r="N243" s="307" t="s">
        <v>60</v>
      </c>
      <c r="O243" s="307" t="s">
        <v>60</v>
      </c>
      <c r="P243" s="307" t="s">
        <v>60</v>
      </c>
      <c r="Q243" s="307" t="s">
        <v>60</v>
      </c>
      <c r="R243" s="307" t="s">
        <v>60</v>
      </c>
      <c r="S243" s="307" t="s">
        <v>60</v>
      </c>
      <c r="T243" s="307" t="s">
        <v>60</v>
      </c>
    </row>
    <row r="244" spans="2:20" x14ac:dyDescent="0.25">
      <c r="B244" s="305" t="s">
        <v>48</v>
      </c>
      <c r="C244" s="305" t="s">
        <v>48</v>
      </c>
      <c r="D244" s="305" t="s">
        <v>48</v>
      </c>
      <c r="E244" s="305" t="s">
        <v>48</v>
      </c>
      <c r="F244" s="306" t="s">
        <v>48</v>
      </c>
      <c r="G244" s="305" t="s">
        <v>48</v>
      </c>
      <c r="H244" s="307" t="s">
        <v>48</v>
      </c>
      <c r="I244" s="307" t="s">
        <v>48</v>
      </c>
      <c r="J244" s="307" t="s">
        <v>48</v>
      </c>
      <c r="K244" s="307" t="s">
        <v>48</v>
      </c>
      <c r="L244" s="307" t="s">
        <v>48</v>
      </c>
      <c r="M244" s="307" t="s">
        <v>48</v>
      </c>
      <c r="N244" s="307" t="s">
        <v>48</v>
      </c>
      <c r="O244" s="307" t="s">
        <v>48</v>
      </c>
      <c r="P244" s="307" t="s">
        <v>48</v>
      </c>
      <c r="Q244" s="307" t="s">
        <v>48</v>
      </c>
      <c r="R244" s="307" t="s">
        <v>48</v>
      </c>
      <c r="S244" s="307" t="s">
        <v>48</v>
      </c>
      <c r="T244" s="307" t="s">
        <v>48</v>
      </c>
    </row>
    <row r="245" spans="2:20" x14ac:dyDescent="0.25">
      <c r="B245" s="305" t="s">
        <v>49</v>
      </c>
      <c r="C245" s="305" t="s">
        <v>49</v>
      </c>
      <c r="D245" s="305" t="s">
        <v>49</v>
      </c>
      <c r="E245" s="305" t="s">
        <v>49</v>
      </c>
      <c r="F245" s="306" t="s">
        <v>49</v>
      </c>
      <c r="G245" s="305" t="s">
        <v>49</v>
      </c>
      <c r="H245" s="307" t="s">
        <v>49</v>
      </c>
      <c r="I245" s="307" t="s">
        <v>49</v>
      </c>
      <c r="J245" s="307" t="s">
        <v>49</v>
      </c>
      <c r="K245" s="307" t="s">
        <v>49</v>
      </c>
      <c r="L245" s="307" t="s">
        <v>49</v>
      </c>
      <c r="M245" s="307" t="s">
        <v>49</v>
      </c>
      <c r="N245" s="307" t="s">
        <v>49</v>
      </c>
      <c r="O245" s="307" t="s">
        <v>49</v>
      </c>
      <c r="P245" s="307" t="s">
        <v>49</v>
      </c>
      <c r="Q245" s="307" t="s">
        <v>49</v>
      </c>
      <c r="R245" s="307" t="s">
        <v>49</v>
      </c>
      <c r="S245" s="307" t="s">
        <v>49</v>
      </c>
      <c r="T245" s="307" t="s">
        <v>49</v>
      </c>
    </row>
    <row r="246" spans="2:20" x14ac:dyDescent="0.25">
      <c r="B246" s="305" t="s">
        <v>50</v>
      </c>
      <c r="C246" s="305" t="s">
        <v>50</v>
      </c>
      <c r="D246" s="305" t="s">
        <v>50</v>
      </c>
      <c r="E246" s="305" t="s">
        <v>50</v>
      </c>
      <c r="F246" s="306" t="s">
        <v>50</v>
      </c>
      <c r="G246" s="305" t="s">
        <v>50</v>
      </c>
      <c r="H246" s="307" t="s">
        <v>50</v>
      </c>
      <c r="I246" s="307" t="s">
        <v>50</v>
      </c>
      <c r="J246" s="307" t="s">
        <v>50</v>
      </c>
      <c r="K246" s="307" t="s">
        <v>50</v>
      </c>
      <c r="L246" s="307" t="s">
        <v>50</v>
      </c>
      <c r="M246" s="307" t="s">
        <v>50</v>
      </c>
      <c r="N246" s="307" t="s">
        <v>50</v>
      </c>
      <c r="O246" s="307" t="s">
        <v>50</v>
      </c>
      <c r="P246" s="307" t="s">
        <v>50</v>
      </c>
      <c r="Q246" s="307" t="s">
        <v>50</v>
      </c>
      <c r="R246" s="307" t="s">
        <v>50</v>
      </c>
      <c r="S246" s="307" t="s">
        <v>50</v>
      </c>
      <c r="T246" s="307" t="s">
        <v>50</v>
      </c>
    </row>
    <row r="247" spans="2:20" x14ac:dyDescent="0.25">
      <c r="B247" s="305" t="s">
        <v>81</v>
      </c>
      <c r="C247" s="305" t="s">
        <v>81</v>
      </c>
      <c r="D247" s="305" t="s">
        <v>81</v>
      </c>
      <c r="E247" s="305" t="s">
        <v>81</v>
      </c>
      <c r="F247" s="306" t="s">
        <v>81</v>
      </c>
      <c r="G247" s="305" t="s">
        <v>81</v>
      </c>
      <c r="H247" s="307" t="s">
        <v>81</v>
      </c>
      <c r="I247" s="307" t="s">
        <v>81</v>
      </c>
      <c r="J247" s="307" t="s">
        <v>81</v>
      </c>
      <c r="K247" s="307" t="s">
        <v>81</v>
      </c>
      <c r="L247" s="307" t="s">
        <v>81</v>
      </c>
      <c r="M247" s="307" t="s">
        <v>81</v>
      </c>
      <c r="N247" s="307" t="s">
        <v>81</v>
      </c>
      <c r="O247" s="307" t="s">
        <v>81</v>
      </c>
      <c r="P247" s="307" t="s">
        <v>81</v>
      </c>
      <c r="Q247" s="307" t="s">
        <v>81</v>
      </c>
      <c r="R247" s="307" t="s">
        <v>81</v>
      </c>
      <c r="S247" s="307" t="s">
        <v>81</v>
      </c>
      <c r="T247" s="307" t="s">
        <v>81</v>
      </c>
    </row>
    <row r="248" spans="2:20" x14ac:dyDescent="0.25">
      <c r="B248" s="305" t="s">
        <v>82</v>
      </c>
      <c r="C248" s="305" t="s">
        <v>82</v>
      </c>
      <c r="D248" s="305" t="s">
        <v>82</v>
      </c>
      <c r="E248" s="305" t="s">
        <v>82</v>
      </c>
      <c r="F248" s="306" t="s">
        <v>82</v>
      </c>
      <c r="G248" s="305" t="s">
        <v>82</v>
      </c>
      <c r="H248" s="307" t="s">
        <v>82</v>
      </c>
      <c r="I248" s="307" t="s">
        <v>82</v>
      </c>
      <c r="J248" s="307" t="s">
        <v>82</v>
      </c>
      <c r="K248" s="307" t="s">
        <v>82</v>
      </c>
      <c r="L248" s="307" t="s">
        <v>82</v>
      </c>
      <c r="M248" s="307" t="s">
        <v>82</v>
      </c>
      <c r="N248" s="307" t="s">
        <v>82</v>
      </c>
      <c r="O248" s="307" t="s">
        <v>82</v>
      </c>
      <c r="P248" s="307" t="s">
        <v>82</v>
      </c>
      <c r="Q248" s="307" t="s">
        <v>82</v>
      </c>
      <c r="R248" s="307" t="s">
        <v>82</v>
      </c>
      <c r="S248" s="307" t="s">
        <v>82</v>
      </c>
      <c r="T248" s="307" t="s">
        <v>82</v>
      </c>
    </row>
    <row r="249" spans="2:20" ht="13.8" thickBot="1" x14ac:dyDescent="0.3">
      <c r="B249" s="308" t="s">
        <v>52</v>
      </c>
      <c r="C249" s="308" t="s">
        <v>52</v>
      </c>
      <c r="D249" s="308" t="s">
        <v>52</v>
      </c>
      <c r="E249" s="308" t="s">
        <v>52</v>
      </c>
      <c r="F249" s="309" t="s">
        <v>52</v>
      </c>
      <c r="G249" s="308" t="s">
        <v>52</v>
      </c>
      <c r="H249" s="310" t="s">
        <v>52</v>
      </c>
      <c r="I249" s="310" t="s">
        <v>52</v>
      </c>
      <c r="J249" s="310" t="s">
        <v>52</v>
      </c>
      <c r="K249" s="310" t="s">
        <v>52</v>
      </c>
      <c r="L249" s="310" t="s">
        <v>52</v>
      </c>
      <c r="M249" s="310" t="s">
        <v>52</v>
      </c>
      <c r="N249" s="310" t="s">
        <v>52</v>
      </c>
      <c r="O249" s="310" t="s">
        <v>52</v>
      </c>
      <c r="P249" s="310" t="s">
        <v>52</v>
      </c>
      <c r="Q249" s="310" t="s">
        <v>52</v>
      </c>
      <c r="R249" s="310" t="s">
        <v>52</v>
      </c>
      <c r="S249" s="310" t="s">
        <v>52</v>
      </c>
      <c r="T249" s="310" t="s">
        <v>52</v>
      </c>
    </row>
    <row r="250" spans="2:20" x14ac:dyDescent="0.25">
      <c r="B250" s="132">
        <v>1</v>
      </c>
      <c r="C250" s="132">
        <v>2</v>
      </c>
      <c r="D250" s="135">
        <v>3</v>
      </c>
      <c r="E250" s="135">
        <v>4</v>
      </c>
      <c r="F250" s="287">
        <v>5</v>
      </c>
      <c r="G250" s="135">
        <v>6</v>
      </c>
      <c r="H250" s="118">
        <v>7</v>
      </c>
      <c r="I250">
        <v>8</v>
      </c>
      <c r="J250">
        <v>9</v>
      </c>
      <c r="K250" s="8">
        <v>10</v>
      </c>
      <c r="L250">
        <v>11</v>
      </c>
      <c r="M250">
        <v>12</v>
      </c>
      <c r="N250">
        <v>13</v>
      </c>
      <c r="O250">
        <v>14</v>
      </c>
      <c r="P250">
        <v>15</v>
      </c>
      <c r="Q250">
        <v>16</v>
      </c>
      <c r="R250">
        <v>17</v>
      </c>
      <c r="S250">
        <v>18</v>
      </c>
      <c r="T250">
        <v>19</v>
      </c>
    </row>
    <row r="251" spans="2:20" ht="13.8" thickBot="1" x14ac:dyDescent="0.3">
      <c r="H251" s="118"/>
      <c r="I251"/>
      <c r="L251" s="5"/>
    </row>
    <row r="252" spans="2:20" ht="13.8" thickBot="1" x14ac:dyDescent="0.3">
      <c r="B252" s="166" t="s">
        <v>397</v>
      </c>
      <c r="C252" s="166" t="s">
        <v>398</v>
      </c>
      <c r="D252" s="180" t="s">
        <v>399</v>
      </c>
      <c r="E252" s="180" t="s">
        <v>400</v>
      </c>
      <c r="F252" s="298" t="s">
        <v>401</v>
      </c>
      <c r="G252" s="180" t="s">
        <v>383</v>
      </c>
      <c r="H252" s="182" t="s">
        <v>384</v>
      </c>
      <c r="I252" s="75" t="s">
        <v>385</v>
      </c>
      <c r="J252" s="75" t="s">
        <v>386</v>
      </c>
      <c r="K252" s="75" t="s">
        <v>24</v>
      </c>
      <c r="L252" s="75" t="s">
        <v>26</v>
      </c>
    </row>
    <row r="253" spans="2:20" x14ac:dyDescent="0.25">
      <c r="B253" s="305" t="s">
        <v>84</v>
      </c>
      <c r="C253" s="305" t="s">
        <v>84</v>
      </c>
      <c r="D253" s="305" t="s">
        <v>84</v>
      </c>
      <c r="E253" s="305" t="s">
        <v>84</v>
      </c>
      <c r="F253" s="306" t="s">
        <v>84</v>
      </c>
      <c r="G253" s="305" t="s">
        <v>84</v>
      </c>
      <c r="H253" s="307" t="s">
        <v>84</v>
      </c>
      <c r="I253" s="307" t="s">
        <v>84</v>
      </c>
      <c r="J253" s="307" t="s">
        <v>84</v>
      </c>
      <c r="K253" s="307" t="s">
        <v>84</v>
      </c>
      <c r="L253" s="307" t="s">
        <v>84</v>
      </c>
      <c r="M253" s="2"/>
    </row>
    <row r="254" spans="2:20" x14ac:dyDescent="0.25">
      <c r="B254" s="305" t="s">
        <v>64</v>
      </c>
      <c r="C254" s="305" t="s">
        <v>64</v>
      </c>
      <c r="D254" s="305" t="s">
        <v>64</v>
      </c>
      <c r="E254" s="305" t="s">
        <v>64</v>
      </c>
      <c r="F254" s="306" t="s">
        <v>64</v>
      </c>
      <c r="G254" s="305" t="s">
        <v>64</v>
      </c>
      <c r="H254" s="307" t="s">
        <v>64</v>
      </c>
      <c r="I254" s="307" t="s">
        <v>64</v>
      </c>
      <c r="J254" s="307" t="s">
        <v>64</v>
      </c>
      <c r="K254" s="307" t="s">
        <v>64</v>
      </c>
      <c r="L254" s="307" t="s">
        <v>64</v>
      </c>
      <c r="M254" s="2"/>
    </row>
    <row r="255" spans="2:20" x14ac:dyDescent="0.25">
      <c r="B255" s="305" t="s">
        <v>83</v>
      </c>
      <c r="C255" s="305" t="s">
        <v>83</v>
      </c>
      <c r="D255" s="305" t="s">
        <v>83</v>
      </c>
      <c r="E255" s="305" t="s">
        <v>83</v>
      </c>
      <c r="F255" s="306" t="s">
        <v>83</v>
      </c>
      <c r="G255" s="305" t="s">
        <v>83</v>
      </c>
      <c r="H255" s="307" t="s">
        <v>83</v>
      </c>
      <c r="I255" s="307" t="s">
        <v>83</v>
      </c>
      <c r="J255" s="307" t="s">
        <v>83</v>
      </c>
      <c r="K255" s="307" t="s">
        <v>83</v>
      </c>
      <c r="L255" s="307" t="s">
        <v>83</v>
      </c>
      <c r="M255" s="2"/>
    </row>
    <row r="256" spans="2:20" x14ac:dyDescent="0.25">
      <c r="B256" s="305" t="s">
        <v>48</v>
      </c>
      <c r="C256" s="305" t="s">
        <v>48</v>
      </c>
      <c r="D256" s="305" t="s">
        <v>48</v>
      </c>
      <c r="E256" s="305" t="s">
        <v>48</v>
      </c>
      <c r="F256" s="306" t="s">
        <v>48</v>
      </c>
      <c r="G256" s="305" t="s">
        <v>48</v>
      </c>
      <c r="H256" s="307" t="s">
        <v>48</v>
      </c>
      <c r="I256" s="307" t="s">
        <v>48</v>
      </c>
      <c r="J256" s="307" t="s">
        <v>48</v>
      </c>
      <c r="K256" s="307" t="s">
        <v>48</v>
      </c>
      <c r="L256" s="307" t="s">
        <v>48</v>
      </c>
      <c r="M256" s="2"/>
    </row>
    <row r="257" spans="1:13" x14ac:dyDescent="0.25">
      <c r="B257" s="305" t="s">
        <v>49</v>
      </c>
      <c r="C257" s="305" t="s">
        <v>49</v>
      </c>
      <c r="D257" s="305" t="s">
        <v>49</v>
      </c>
      <c r="E257" s="305" t="s">
        <v>49</v>
      </c>
      <c r="F257" s="306" t="s">
        <v>49</v>
      </c>
      <c r="G257" s="305" t="s">
        <v>49</v>
      </c>
      <c r="H257" s="307" t="s">
        <v>49</v>
      </c>
      <c r="I257" s="307" t="s">
        <v>49</v>
      </c>
      <c r="J257" s="307" t="s">
        <v>49</v>
      </c>
      <c r="K257" s="307" t="s">
        <v>49</v>
      </c>
      <c r="L257" s="307" t="s">
        <v>49</v>
      </c>
      <c r="M257" s="2"/>
    </row>
    <row r="258" spans="1:13" x14ac:dyDescent="0.25">
      <c r="B258" s="305" t="s">
        <v>50</v>
      </c>
      <c r="C258" s="305" t="s">
        <v>50</v>
      </c>
      <c r="D258" s="305" t="s">
        <v>50</v>
      </c>
      <c r="E258" s="305" t="s">
        <v>50</v>
      </c>
      <c r="F258" s="306" t="s">
        <v>50</v>
      </c>
      <c r="G258" s="305" t="s">
        <v>50</v>
      </c>
      <c r="H258" s="307" t="s">
        <v>50</v>
      </c>
      <c r="I258" s="307" t="s">
        <v>50</v>
      </c>
      <c r="J258" s="307" t="s">
        <v>50</v>
      </c>
      <c r="K258" s="307" t="s">
        <v>50</v>
      </c>
      <c r="L258" s="307" t="s">
        <v>50</v>
      </c>
      <c r="M258" s="2"/>
    </row>
    <row r="259" spans="1:13" x14ac:dyDescent="0.25">
      <c r="B259" s="305" t="s">
        <v>81</v>
      </c>
      <c r="C259" s="305" t="s">
        <v>81</v>
      </c>
      <c r="D259" s="305" t="s">
        <v>81</v>
      </c>
      <c r="E259" s="305" t="s">
        <v>81</v>
      </c>
      <c r="F259" s="306" t="s">
        <v>81</v>
      </c>
      <c r="G259" s="305" t="s">
        <v>81</v>
      </c>
      <c r="H259" s="307" t="s">
        <v>81</v>
      </c>
      <c r="I259" s="307" t="s">
        <v>81</v>
      </c>
      <c r="J259" s="307" t="s">
        <v>81</v>
      </c>
      <c r="K259" s="307" t="s">
        <v>81</v>
      </c>
      <c r="L259" s="307" t="s">
        <v>81</v>
      </c>
      <c r="M259" s="2"/>
    </row>
    <row r="260" spans="1:13" x14ac:dyDescent="0.25">
      <c r="B260" s="305" t="s">
        <v>82</v>
      </c>
      <c r="C260" s="305" t="s">
        <v>82</v>
      </c>
      <c r="D260" s="305" t="s">
        <v>82</v>
      </c>
      <c r="E260" s="305" t="s">
        <v>82</v>
      </c>
      <c r="F260" s="306" t="s">
        <v>82</v>
      </c>
      <c r="G260" s="305" t="s">
        <v>82</v>
      </c>
      <c r="H260" s="307" t="s">
        <v>82</v>
      </c>
      <c r="I260" s="307" t="s">
        <v>82</v>
      </c>
      <c r="J260" s="307" t="s">
        <v>82</v>
      </c>
      <c r="K260" s="307" t="s">
        <v>82</v>
      </c>
      <c r="L260" s="307" t="s">
        <v>82</v>
      </c>
      <c r="M260" s="2"/>
    </row>
    <row r="261" spans="1:13" ht="13.8" thickBot="1" x14ac:dyDescent="0.3">
      <c r="B261" s="308" t="s">
        <v>52</v>
      </c>
      <c r="C261" s="308" t="s">
        <v>52</v>
      </c>
      <c r="D261" s="308" t="s">
        <v>52</v>
      </c>
      <c r="E261" s="308" t="s">
        <v>52</v>
      </c>
      <c r="F261" s="309" t="s">
        <v>52</v>
      </c>
      <c r="G261" s="308" t="s">
        <v>52</v>
      </c>
      <c r="H261" s="310" t="s">
        <v>52</v>
      </c>
      <c r="I261" s="310" t="s">
        <v>52</v>
      </c>
      <c r="J261" s="310" t="s">
        <v>52</v>
      </c>
      <c r="K261" s="310" t="s">
        <v>52</v>
      </c>
      <c r="L261" s="310" t="s">
        <v>52</v>
      </c>
      <c r="M261" s="2"/>
    </row>
    <row r="262" spans="1:13" x14ac:dyDescent="0.25">
      <c r="B262" s="132">
        <v>20</v>
      </c>
      <c r="C262" s="132">
        <v>21</v>
      </c>
      <c r="D262" s="181">
        <v>22</v>
      </c>
      <c r="E262" s="181">
        <v>23</v>
      </c>
      <c r="F262" s="296">
        <v>24</v>
      </c>
      <c r="G262" s="181">
        <v>25</v>
      </c>
      <c r="H262" s="183">
        <v>26</v>
      </c>
      <c r="I262" s="8">
        <v>27</v>
      </c>
      <c r="J262" s="8">
        <v>28</v>
      </c>
      <c r="K262" s="8">
        <v>29</v>
      </c>
      <c r="L262">
        <v>30</v>
      </c>
    </row>
    <row r="263" spans="1:13" ht="13.8" thickBot="1" x14ac:dyDescent="0.3">
      <c r="B263" s="152"/>
      <c r="C263" s="152"/>
    </row>
    <row r="264" spans="1:13" ht="13.8" thickBot="1" x14ac:dyDescent="0.3">
      <c r="A264" s="3"/>
      <c r="B264" s="167" t="s">
        <v>23</v>
      </c>
      <c r="C264" s="167" t="s">
        <v>393</v>
      </c>
      <c r="D264" s="279" t="s">
        <v>395</v>
      </c>
    </row>
    <row r="265" spans="1:13" x14ac:dyDescent="0.25">
      <c r="A265" s="3"/>
      <c r="B265" s="311" t="s">
        <v>84</v>
      </c>
      <c r="C265" s="312" t="s">
        <v>66</v>
      </c>
      <c r="D265" s="312" t="s">
        <v>66</v>
      </c>
    </row>
    <row r="266" spans="1:13" x14ac:dyDescent="0.25">
      <c r="A266" s="3"/>
      <c r="B266" s="311" t="s">
        <v>64</v>
      </c>
      <c r="C266" s="312" t="s">
        <v>67</v>
      </c>
      <c r="D266" s="312" t="s">
        <v>67</v>
      </c>
    </row>
    <row r="267" spans="1:13" x14ac:dyDescent="0.25">
      <c r="A267" s="3"/>
      <c r="B267" s="311" t="s">
        <v>83</v>
      </c>
      <c r="C267" s="312" t="s">
        <v>48</v>
      </c>
      <c r="D267" s="312" t="s">
        <v>48</v>
      </c>
    </row>
    <row r="268" spans="1:13" x14ac:dyDescent="0.25">
      <c r="A268" s="3"/>
      <c r="B268" s="311" t="s">
        <v>48</v>
      </c>
      <c r="C268" s="312" t="s">
        <v>49</v>
      </c>
      <c r="D268" s="312" t="s">
        <v>49</v>
      </c>
    </row>
    <row r="269" spans="1:13" x14ac:dyDescent="0.25">
      <c r="A269" s="3"/>
      <c r="B269" s="311" t="s">
        <v>49</v>
      </c>
      <c r="C269" s="312" t="s">
        <v>50</v>
      </c>
      <c r="D269" s="312" t="s">
        <v>50</v>
      </c>
    </row>
    <row r="270" spans="1:13" x14ac:dyDescent="0.25">
      <c r="A270" s="3"/>
      <c r="B270" s="311" t="s">
        <v>50</v>
      </c>
      <c r="C270" s="312" t="s">
        <v>81</v>
      </c>
      <c r="D270" s="312" t="s">
        <v>81</v>
      </c>
    </row>
    <row r="271" spans="1:13" x14ac:dyDescent="0.25">
      <c r="A271" s="3"/>
      <c r="B271" s="311" t="s">
        <v>81</v>
      </c>
      <c r="C271" s="312" t="s">
        <v>82</v>
      </c>
      <c r="D271" s="312" t="s">
        <v>82</v>
      </c>
    </row>
    <row r="272" spans="1:13" ht="13.8" thickBot="1" x14ac:dyDescent="0.3">
      <c r="A272" s="3"/>
      <c r="B272" s="311" t="s">
        <v>82</v>
      </c>
      <c r="C272" s="313" t="s">
        <v>52</v>
      </c>
      <c r="D272" s="313" t="s">
        <v>52</v>
      </c>
    </row>
    <row r="273" spans="1:18" ht="13.8" thickBot="1" x14ac:dyDescent="0.3">
      <c r="A273" s="3"/>
      <c r="B273" s="253" t="s">
        <v>52</v>
      </c>
      <c r="C273" s="132">
        <v>32</v>
      </c>
      <c r="D273" s="135">
        <v>33</v>
      </c>
    </row>
    <row r="274" spans="1:18" x14ac:dyDescent="0.25">
      <c r="B274" s="132">
        <v>31</v>
      </c>
    </row>
    <row r="275" spans="1:18" ht="13.8" thickBot="1" x14ac:dyDescent="0.3"/>
    <row r="276" spans="1:18" ht="13.8" thickBot="1" x14ac:dyDescent="0.3">
      <c r="B276" s="171" t="s">
        <v>22</v>
      </c>
      <c r="C276" s="166" t="s">
        <v>406</v>
      </c>
      <c r="D276" s="177" t="s">
        <v>425</v>
      </c>
      <c r="E276" s="177" t="s">
        <v>408</v>
      </c>
      <c r="F276" s="299" t="s">
        <v>409</v>
      </c>
      <c r="G276" s="177" t="s">
        <v>411</v>
      </c>
      <c r="H276" s="74" t="s">
        <v>29</v>
      </c>
      <c r="I276" s="74" t="s">
        <v>415</v>
      </c>
      <c r="J276" s="74" t="s">
        <v>416</v>
      </c>
      <c r="K276" s="74" t="s">
        <v>417</v>
      </c>
      <c r="L276" s="74" t="s">
        <v>418</v>
      </c>
      <c r="M276" s="115" t="s">
        <v>613</v>
      </c>
      <c r="N276" s="75" t="s">
        <v>31</v>
      </c>
      <c r="O276" s="75" t="s">
        <v>32</v>
      </c>
      <c r="P276" s="115" t="s">
        <v>422</v>
      </c>
      <c r="Q276" s="116" t="s">
        <v>423</v>
      </c>
      <c r="R276" s="17" t="s">
        <v>424</v>
      </c>
    </row>
    <row r="277" spans="1:18" x14ac:dyDescent="0.25">
      <c r="B277" s="305" t="s">
        <v>84</v>
      </c>
      <c r="C277" s="305" t="s">
        <v>84</v>
      </c>
      <c r="D277" s="305" t="s">
        <v>84</v>
      </c>
      <c r="E277" s="305" t="s">
        <v>84</v>
      </c>
      <c r="F277" s="306" t="s">
        <v>84</v>
      </c>
      <c r="G277" s="305" t="s">
        <v>84</v>
      </c>
      <c r="H277" s="307" t="s">
        <v>85</v>
      </c>
      <c r="I277" s="312" t="s">
        <v>66</v>
      </c>
      <c r="J277" s="312" t="s">
        <v>66</v>
      </c>
      <c r="K277" s="312" t="s">
        <v>66</v>
      </c>
      <c r="L277" s="312" t="s">
        <v>66</v>
      </c>
      <c r="M277" s="307" t="s">
        <v>85</v>
      </c>
      <c r="N277" s="307" t="s">
        <v>85</v>
      </c>
      <c r="O277" s="307" t="s">
        <v>85</v>
      </c>
      <c r="P277" s="307" t="s">
        <v>85</v>
      </c>
      <c r="Q277" s="312" t="s">
        <v>66</v>
      </c>
      <c r="R277" s="312" t="s">
        <v>66</v>
      </c>
    </row>
    <row r="278" spans="1:18" x14ac:dyDescent="0.25">
      <c r="B278" s="305" t="s">
        <v>64</v>
      </c>
      <c r="C278" s="305" t="s">
        <v>64</v>
      </c>
      <c r="D278" s="305" t="s">
        <v>64</v>
      </c>
      <c r="E278" s="305" t="s">
        <v>64</v>
      </c>
      <c r="F278" s="306" t="s">
        <v>64</v>
      </c>
      <c r="G278" s="305" t="s">
        <v>64</v>
      </c>
      <c r="H278" s="307" t="s">
        <v>86</v>
      </c>
      <c r="I278" s="312" t="s">
        <v>67</v>
      </c>
      <c r="J278" s="312" t="s">
        <v>67</v>
      </c>
      <c r="K278" s="312" t="s">
        <v>67</v>
      </c>
      <c r="L278" s="312" t="s">
        <v>67</v>
      </c>
      <c r="M278" s="307" t="s">
        <v>86</v>
      </c>
      <c r="N278" s="307" t="s">
        <v>86</v>
      </c>
      <c r="O278" s="307" t="s">
        <v>86</v>
      </c>
      <c r="P278" s="307" t="s">
        <v>86</v>
      </c>
      <c r="Q278" s="312" t="s">
        <v>67</v>
      </c>
      <c r="R278" s="312" t="s">
        <v>67</v>
      </c>
    </row>
    <row r="279" spans="1:18" x14ac:dyDescent="0.25">
      <c r="B279" s="305" t="s">
        <v>83</v>
      </c>
      <c r="C279" s="305" t="s">
        <v>83</v>
      </c>
      <c r="D279" s="305" t="s">
        <v>83</v>
      </c>
      <c r="E279" s="305" t="s">
        <v>83</v>
      </c>
      <c r="F279" s="306" t="s">
        <v>83</v>
      </c>
      <c r="G279" s="305" t="s">
        <v>83</v>
      </c>
      <c r="H279" s="307" t="s">
        <v>60</v>
      </c>
      <c r="I279" s="312" t="s">
        <v>48</v>
      </c>
      <c r="J279" s="312" t="s">
        <v>48</v>
      </c>
      <c r="K279" s="312" t="s">
        <v>48</v>
      </c>
      <c r="L279" s="312" t="s">
        <v>48</v>
      </c>
      <c r="M279" s="307" t="s">
        <v>60</v>
      </c>
      <c r="N279" s="307" t="s">
        <v>60</v>
      </c>
      <c r="O279" s="307" t="s">
        <v>60</v>
      </c>
      <c r="P279" s="307" t="s">
        <v>60</v>
      </c>
      <c r="Q279" s="312" t="s">
        <v>48</v>
      </c>
      <c r="R279" s="312" t="s">
        <v>48</v>
      </c>
    </row>
    <row r="280" spans="1:18" x14ac:dyDescent="0.25">
      <c r="B280" s="305" t="s">
        <v>48</v>
      </c>
      <c r="C280" s="305" t="s">
        <v>48</v>
      </c>
      <c r="D280" s="305" t="s">
        <v>48</v>
      </c>
      <c r="E280" s="305" t="s">
        <v>48</v>
      </c>
      <c r="F280" s="306" t="s">
        <v>48</v>
      </c>
      <c r="G280" s="305" t="s">
        <v>48</v>
      </c>
      <c r="H280" s="307" t="s">
        <v>48</v>
      </c>
      <c r="I280" s="312" t="s">
        <v>49</v>
      </c>
      <c r="J280" s="312" t="s">
        <v>49</v>
      </c>
      <c r="K280" s="312" t="s">
        <v>49</v>
      </c>
      <c r="L280" s="312" t="s">
        <v>49</v>
      </c>
      <c r="M280" s="307" t="s">
        <v>48</v>
      </c>
      <c r="N280" s="307" t="s">
        <v>48</v>
      </c>
      <c r="O280" s="307" t="s">
        <v>48</v>
      </c>
      <c r="P280" s="307" t="s">
        <v>48</v>
      </c>
      <c r="Q280" s="312" t="s">
        <v>49</v>
      </c>
      <c r="R280" s="312" t="s">
        <v>49</v>
      </c>
    </row>
    <row r="281" spans="1:18" x14ac:dyDescent="0.25">
      <c r="B281" s="305" t="s">
        <v>49</v>
      </c>
      <c r="C281" s="305" t="s">
        <v>49</v>
      </c>
      <c r="D281" s="305" t="s">
        <v>49</v>
      </c>
      <c r="E281" s="305" t="s">
        <v>49</v>
      </c>
      <c r="F281" s="306" t="s">
        <v>49</v>
      </c>
      <c r="G281" s="305" t="s">
        <v>49</v>
      </c>
      <c r="H281" s="307" t="s">
        <v>49</v>
      </c>
      <c r="I281" s="312" t="s">
        <v>50</v>
      </c>
      <c r="J281" s="312" t="s">
        <v>50</v>
      </c>
      <c r="K281" s="312" t="s">
        <v>50</v>
      </c>
      <c r="L281" s="312" t="s">
        <v>50</v>
      </c>
      <c r="M281" s="307" t="s">
        <v>49</v>
      </c>
      <c r="N281" s="307" t="s">
        <v>49</v>
      </c>
      <c r="O281" s="307" t="s">
        <v>49</v>
      </c>
      <c r="P281" s="307" t="s">
        <v>49</v>
      </c>
      <c r="Q281" s="312" t="s">
        <v>50</v>
      </c>
      <c r="R281" s="312" t="s">
        <v>50</v>
      </c>
    </row>
    <row r="282" spans="1:18" x14ac:dyDescent="0.25">
      <c r="B282" s="305" t="s">
        <v>50</v>
      </c>
      <c r="C282" s="305" t="s">
        <v>50</v>
      </c>
      <c r="D282" s="305" t="s">
        <v>50</v>
      </c>
      <c r="E282" s="305" t="s">
        <v>50</v>
      </c>
      <c r="F282" s="306" t="s">
        <v>50</v>
      </c>
      <c r="G282" s="305" t="s">
        <v>50</v>
      </c>
      <c r="H282" s="307" t="s">
        <v>50</v>
      </c>
      <c r="I282" s="312" t="s">
        <v>81</v>
      </c>
      <c r="J282" s="312" t="s">
        <v>81</v>
      </c>
      <c r="K282" s="312" t="s">
        <v>81</v>
      </c>
      <c r="L282" s="312" t="s">
        <v>81</v>
      </c>
      <c r="M282" s="307" t="s">
        <v>50</v>
      </c>
      <c r="N282" s="307" t="s">
        <v>50</v>
      </c>
      <c r="O282" s="307" t="s">
        <v>50</v>
      </c>
      <c r="P282" s="307" t="s">
        <v>50</v>
      </c>
      <c r="Q282" s="312" t="s">
        <v>81</v>
      </c>
      <c r="R282" s="312" t="s">
        <v>81</v>
      </c>
    </row>
    <row r="283" spans="1:18" x14ac:dyDescent="0.25">
      <c r="B283" s="305" t="s">
        <v>81</v>
      </c>
      <c r="C283" s="305" t="s">
        <v>81</v>
      </c>
      <c r="D283" s="305" t="s">
        <v>81</v>
      </c>
      <c r="E283" s="305" t="s">
        <v>81</v>
      </c>
      <c r="F283" s="306" t="s">
        <v>81</v>
      </c>
      <c r="G283" s="305" t="s">
        <v>81</v>
      </c>
      <c r="H283" s="307" t="s">
        <v>81</v>
      </c>
      <c r="I283" s="312" t="s">
        <v>82</v>
      </c>
      <c r="J283" s="312" t="s">
        <v>82</v>
      </c>
      <c r="K283" s="312" t="s">
        <v>82</v>
      </c>
      <c r="L283" s="312" t="s">
        <v>82</v>
      </c>
      <c r="M283" s="307" t="s">
        <v>81</v>
      </c>
      <c r="N283" s="307" t="s">
        <v>81</v>
      </c>
      <c r="O283" s="307" t="s">
        <v>81</v>
      </c>
      <c r="P283" s="307" t="s">
        <v>81</v>
      </c>
      <c r="Q283" s="312" t="s">
        <v>82</v>
      </c>
      <c r="R283" s="312" t="s">
        <v>82</v>
      </c>
    </row>
    <row r="284" spans="1:18" ht="13.8" thickBot="1" x14ac:dyDescent="0.3">
      <c r="B284" s="305" t="s">
        <v>82</v>
      </c>
      <c r="C284" s="305" t="s">
        <v>82</v>
      </c>
      <c r="D284" s="305" t="s">
        <v>82</v>
      </c>
      <c r="E284" s="305" t="s">
        <v>82</v>
      </c>
      <c r="F284" s="306" t="s">
        <v>82</v>
      </c>
      <c r="G284" s="305" t="s">
        <v>82</v>
      </c>
      <c r="H284" s="307" t="s">
        <v>82</v>
      </c>
      <c r="I284" s="313" t="s">
        <v>52</v>
      </c>
      <c r="J284" s="313" t="s">
        <v>52</v>
      </c>
      <c r="K284" s="313" t="s">
        <v>52</v>
      </c>
      <c r="L284" s="313" t="s">
        <v>52</v>
      </c>
      <c r="M284" s="307" t="s">
        <v>82</v>
      </c>
      <c r="N284" s="307" t="s">
        <v>82</v>
      </c>
      <c r="O284" s="307" t="s">
        <v>82</v>
      </c>
      <c r="P284" s="307" t="s">
        <v>82</v>
      </c>
      <c r="Q284" s="313" t="s">
        <v>52</v>
      </c>
      <c r="R284" s="313" t="s">
        <v>52</v>
      </c>
    </row>
    <row r="285" spans="1:18" ht="13.8" thickBot="1" x14ac:dyDescent="0.3">
      <c r="B285" s="120" t="s">
        <v>52</v>
      </c>
      <c r="C285" s="308" t="s">
        <v>52</v>
      </c>
      <c r="D285" s="308" t="s">
        <v>52</v>
      </c>
      <c r="E285" s="308" t="s">
        <v>52</v>
      </c>
      <c r="F285" s="309" t="s">
        <v>52</v>
      </c>
      <c r="G285" s="308" t="s">
        <v>52</v>
      </c>
      <c r="H285" s="310" t="s">
        <v>52</v>
      </c>
      <c r="I285"/>
      <c r="M285" s="13" t="s">
        <v>52</v>
      </c>
      <c r="N285" s="13" t="s">
        <v>52</v>
      </c>
      <c r="O285" s="13" t="s">
        <v>52</v>
      </c>
      <c r="P285" s="13" t="s">
        <v>52</v>
      </c>
    </row>
    <row r="286" spans="1:18" x14ac:dyDescent="0.25">
      <c r="B286" s="132">
        <v>34</v>
      </c>
      <c r="C286" s="132">
        <v>35</v>
      </c>
      <c r="D286" s="135">
        <v>36</v>
      </c>
      <c r="E286" s="135">
        <v>37</v>
      </c>
      <c r="F286" s="287">
        <v>38</v>
      </c>
      <c r="G286" s="135">
        <v>39</v>
      </c>
      <c r="H286">
        <v>40</v>
      </c>
      <c r="I286">
        <v>41</v>
      </c>
      <c r="J286">
        <v>42</v>
      </c>
      <c r="K286">
        <v>43</v>
      </c>
      <c r="L286">
        <v>44</v>
      </c>
      <c r="M286">
        <v>45</v>
      </c>
      <c r="N286">
        <v>46</v>
      </c>
      <c r="O286">
        <v>47</v>
      </c>
      <c r="P286">
        <v>48</v>
      </c>
      <c r="Q286">
        <v>49</v>
      </c>
      <c r="R286">
        <v>50</v>
      </c>
    </row>
    <row r="288" spans="1:18" ht="13.8" thickBot="1" x14ac:dyDescent="0.3">
      <c r="B288" s="170" t="s">
        <v>695</v>
      </c>
    </row>
    <row r="289" spans="2:6" ht="13.8" thickBot="1" x14ac:dyDescent="0.3">
      <c r="B289" s="168" t="s">
        <v>43</v>
      </c>
      <c r="C289" s="156" t="s">
        <v>330</v>
      </c>
      <c r="D289" s="138" t="s">
        <v>331</v>
      </c>
      <c r="E289" s="285" t="s">
        <v>332</v>
      </c>
    </row>
    <row r="290" spans="2:6" x14ac:dyDescent="0.25">
      <c r="B290" s="162" t="s">
        <v>48</v>
      </c>
      <c r="C290" s="150" t="s">
        <v>85</v>
      </c>
      <c r="D290" s="150" t="s">
        <v>84</v>
      </c>
      <c r="E290" s="157" t="s">
        <v>66</v>
      </c>
    </row>
    <row r="291" spans="2:6" x14ac:dyDescent="0.25">
      <c r="B291" s="160" t="s">
        <v>49</v>
      </c>
      <c r="C291" s="119" t="s">
        <v>86</v>
      </c>
      <c r="D291" s="119" t="s">
        <v>64</v>
      </c>
      <c r="E291" s="151" t="s">
        <v>67</v>
      </c>
    </row>
    <row r="292" spans="2:6" x14ac:dyDescent="0.25">
      <c r="B292" s="160" t="s">
        <v>50</v>
      </c>
      <c r="C292" s="119" t="s">
        <v>60</v>
      </c>
      <c r="D292" s="119" t="s">
        <v>83</v>
      </c>
      <c r="E292" s="151"/>
    </row>
    <row r="293" spans="2:6" x14ac:dyDescent="0.25">
      <c r="B293" s="160" t="s">
        <v>81</v>
      </c>
      <c r="C293" s="119"/>
      <c r="D293" s="119"/>
      <c r="E293" s="151"/>
    </row>
    <row r="294" spans="2:6" x14ac:dyDescent="0.25">
      <c r="B294" s="160" t="s">
        <v>82</v>
      </c>
      <c r="C294" s="119"/>
      <c r="D294" s="119"/>
      <c r="E294" s="151"/>
    </row>
    <row r="295" spans="2:6" ht="13.8" thickBot="1" x14ac:dyDescent="0.3">
      <c r="B295" s="161" t="s">
        <v>52</v>
      </c>
      <c r="C295" s="120"/>
      <c r="D295" s="120"/>
      <c r="E295" s="153"/>
    </row>
    <row r="296" spans="2:6" x14ac:dyDescent="0.25">
      <c r="B296" s="132">
        <v>51</v>
      </c>
      <c r="C296" s="132">
        <v>52</v>
      </c>
      <c r="D296" s="135">
        <v>53</v>
      </c>
      <c r="E296" s="135">
        <v>54</v>
      </c>
    </row>
    <row r="298" spans="2:6" ht="27" customHeight="1" x14ac:dyDescent="0.25">
      <c r="B298" s="667" t="s">
        <v>633</v>
      </c>
      <c r="C298" s="667"/>
      <c r="D298" s="667"/>
      <c r="E298" s="667"/>
      <c r="F298" s="667"/>
    </row>
    <row r="299" spans="2:6" ht="13.5" customHeight="1" thickBot="1" x14ac:dyDescent="0.3">
      <c r="B299" s="124"/>
    </row>
    <row r="300" spans="2:6" ht="13.8" thickBot="1" x14ac:dyDescent="0.3">
      <c r="B300" s="154" t="s">
        <v>102</v>
      </c>
      <c r="C300" s="154"/>
      <c r="D300" s="254"/>
      <c r="E300" s="286" t="s">
        <v>111</v>
      </c>
      <c r="F300" s="300" t="s">
        <v>112</v>
      </c>
    </row>
    <row r="301" spans="2:6" x14ac:dyDescent="0.25">
      <c r="B301" s="119" t="s">
        <v>48</v>
      </c>
      <c r="C301" s="119" t="s">
        <v>43</v>
      </c>
      <c r="D301" s="172">
        <v>0</v>
      </c>
      <c r="F301" s="301"/>
    </row>
    <row r="302" spans="2:6" x14ac:dyDescent="0.25">
      <c r="B302" s="119" t="s">
        <v>49</v>
      </c>
      <c r="C302" s="119" t="s">
        <v>43</v>
      </c>
      <c r="D302" s="172">
        <v>0</v>
      </c>
      <c r="F302" s="290"/>
    </row>
    <row r="303" spans="2:6" x14ac:dyDescent="0.25">
      <c r="B303" s="119" t="s">
        <v>50</v>
      </c>
      <c r="C303" s="119" t="s">
        <v>43</v>
      </c>
      <c r="D303" s="172">
        <v>0</v>
      </c>
      <c r="F303" s="290"/>
    </row>
    <row r="304" spans="2:6" x14ac:dyDescent="0.25">
      <c r="B304" s="119" t="s">
        <v>81</v>
      </c>
      <c r="C304" s="119" t="s">
        <v>43</v>
      </c>
      <c r="D304" s="172">
        <v>0</v>
      </c>
      <c r="F304" s="290"/>
    </row>
    <row r="305" spans="2:9" x14ac:dyDescent="0.25">
      <c r="B305" s="119" t="s">
        <v>82</v>
      </c>
      <c r="C305" s="119" t="s">
        <v>43</v>
      </c>
      <c r="D305" s="172">
        <v>0</v>
      </c>
      <c r="F305" s="290"/>
    </row>
    <row r="306" spans="2:9" x14ac:dyDescent="0.25">
      <c r="B306" s="119" t="s">
        <v>52</v>
      </c>
      <c r="C306" s="119" t="s">
        <v>43</v>
      </c>
      <c r="D306" s="172">
        <v>0</v>
      </c>
      <c r="F306" s="290"/>
    </row>
    <row r="307" spans="2:9" x14ac:dyDescent="0.25">
      <c r="B307" s="119" t="s">
        <v>85</v>
      </c>
      <c r="C307" s="119" t="s">
        <v>99</v>
      </c>
      <c r="D307" s="172">
        <v>1</v>
      </c>
      <c r="F307" s="290"/>
    </row>
    <row r="308" spans="2:9" x14ac:dyDescent="0.25">
      <c r="B308" s="119" t="s">
        <v>86</v>
      </c>
      <c r="C308" s="119" t="s">
        <v>99</v>
      </c>
      <c r="D308" s="172">
        <v>1</v>
      </c>
      <c r="F308" s="290"/>
    </row>
    <row r="309" spans="2:9" x14ac:dyDescent="0.25">
      <c r="B309" s="119" t="s">
        <v>60</v>
      </c>
      <c r="C309" s="119" t="s">
        <v>99</v>
      </c>
      <c r="D309" s="172">
        <v>1</v>
      </c>
      <c r="F309" s="290"/>
    </row>
    <row r="310" spans="2:9" x14ac:dyDescent="0.25">
      <c r="B310" s="119" t="s">
        <v>84</v>
      </c>
      <c r="C310" s="119" t="s">
        <v>47</v>
      </c>
      <c r="D310" s="172">
        <v>2</v>
      </c>
      <c r="E310" s="135">
        <v>3</v>
      </c>
      <c r="F310" s="290"/>
    </row>
    <row r="311" spans="2:9" x14ac:dyDescent="0.25">
      <c r="B311" s="119" t="s">
        <v>64</v>
      </c>
      <c r="C311" s="119" t="s">
        <v>47</v>
      </c>
      <c r="D311" s="172">
        <v>2</v>
      </c>
      <c r="E311" s="135">
        <v>2</v>
      </c>
      <c r="F311" s="290"/>
    </row>
    <row r="312" spans="2:9" x14ac:dyDescent="0.25">
      <c r="B312" s="119" t="s">
        <v>83</v>
      </c>
      <c r="C312" s="119" t="s">
        <v>47</v>
      </c>
      <c r="D312" s="172">
        <v>2</v>
      </c>
      <c r="E312" s="135">
        <v>1</v>
      </c>
      <c r="F312" s="290"/>
    </row>
    <row r="313" spans="2:9" x14ac:dyDescent="0.25">
      <c r="B313" s="119" t="s">
        <v>66</v>
      </c>
      <c r="C313" s="119" t="s">
        <v>100</v>
      </c>
      <c r="D313" s="172">
        <v>3</v>
      </c>
      <c r="F313" s="290">
        <v>2</v>
      </c>
    </row>
    <row r="314" spans="2:9" ht="13.8" thickBot="1" x14ac:dyDescent="0.3">
      <c r="B314" s="120" t="s">
        <v>67</v>
      </c>
      <c r="C314" s="120" t="s">
        <v>100</v>
      </c>
      <c r="D314" s="173">
        <v>3</v>
      </c>
      <c r="E314" s="179"/>
      <c r="F314" s="292">
        <v>1</v>
      </c>
    </row>
    <row r="316" spans="2:9" ht="40.5" customHeight="1" x14ac:dyDescent="0.25">
      <c r="B316" s="668" t="s">
        <v>634</v>
      </c>
      <c r="C316" s="668"/>
      <c r="D316" s="668"/>
      <c r="E316" s="668"/>
      <c r="F316" s="668"/>
    </row>
    <row r="317" spans="2:9" ht="14.25" customHeight="1" x14ac:dyDescent="0.25">
      <c r="B317"/>
      <c r="C317"/>
      <c r="D317" s="118"/>
      <c r="E317" s="118"/>
      <c r="F317" s="136"/>
      <c r="G317" s="118"/>
      <c r="H317" s="118"/>
      <c r="I317" s="118"/>
    </row>
    <row r="318" spans="2:9" ht="16.2" thickBot="1" x14ac:dyDescent="0.3">
      <c r="B318" s="124" t="s">
        <v>696</v>
      </c>
    </row>
    <row r="319" spans="2:9" ht="15.6" x14ac:dyDescent="0.25">
      <c r="B319" s="168" t="s">
        <v>21</v>
      </c>
      <c r="C319" s="138" t="s">
        <v>697</v>
      </c>
      <c r="F319" s="136"/>
      <c r="G319"/>
      <c r="H319"/>
      <c r="I319"/>
    </row>
    <row r="320" spans="2:9" x14ac:dyDescent="0.25">
      <c r="B320" s="188" t="s">
        <v>397</v>
      </c>
      <c r="C320" s="256">
        <f>G86</f>
        <v>2.7082313888888896E-3</v>
      </c>
      <c r="E320" s="118"/>
      <c r="F320" s="136"/>
      <c r="G320"/>
      <c r="H320"/>
      <c r="I320"/>
    </row>
    <row r="321" spans="2:9" x14ac:dyDescent="0.25">
      <c r="B321" s="188" t="s">
        <v>398</v>
      </c>
      <c r="C321" s="256">
        <f>G91</f>
        <v>2.2881942548942397E-3</v>
      </c>
      <c r="E321" s="118"/>
      <c r="F321" s="136"/>
      <c r="G321"/>
      <c r="H321"/>
      <c r="I321"/>
    </row>
    <row r="322" spans="2:9" x14ac:dyDescent="0.25">
      <c r="B322" s="188" t="s">
        <v>399</v>
      </c>
      <c r="C322" s="256">
        <f>G96</f>
        <v>2.18452676981E-3</v>
      </c>
      <c r="E322" s="118"/>
      <c r="F322" s="136"/>
      <c r="G322"/>
      <c r="H322"/>
      <c r="I322"/>
    </row>
    <row r="323" spans="2:9" x14ac:dyDescent="0.25">
      <c r="B323" s="188" t="s">
        <v>400</v>
      </c>
      <c r="C323" s="256">
        <f>G101</f>
        <v>2.5715891930835734E-3</v>
      </c>
      <c r="E323" s="118"/>
      <c r="F323" s="136"/>
      <c r="G323"/>
      <c r="H323"/>
      <c r="I323"/>
    </row>
    <row r="324" spans="2:9" x14ac:dyDescent="0.25">
      <c r="B324" s="188" t="s">
        <v>401</v>
      </c>
      <c r="C324" s="256">
        <f>G106</f>
        <v>2.6715505395683453E-3</v>
      </c>
      <c r="E324" s="118"/>
      <c r="F324" s="136"/>
      <c r="G324"/>
      <c r="H324"/>
      <c r="I324"/>
    </row>
    <row r="325" spans="2:9" x14ac:dyDescent="0.25">
      <c r="B325" s="188" t="s">
        <v>383</v>
      </c>
      <c r="C325" s="256" t="str">
        <f>G111</f>
        <v/>
      </c>
      <c r="E325" s="118"/>
      <c r="F325" s="136"/>
      <c r="G325"/>
      <c r="H325"/>
      <c r="I325"/>
    </row>
    <row r="326" spans="2:9" x14ac:dyDescent="0.25">
      <c r="B326" s="188" t="s">
        <v>384</v>
      </c>
      <c r="C326" s="256">
        <f>G116</f>
        <v>2.9099857336212002E-3</v>
      </c>
      <c r="E326" s="118"/>
      <c r="F326" s="136"/>
      <c r="G326"/>
      <c r="H326"/>
      <c r="I326"/>
    </row>
    <row r="327" spans="2:9" x14ac:dyDescent="0.25">
      <c r="B327" s="188" t="s">
        <v>385</v>
      </c>
      <c r="C327" s="256">
        <f>G121</f>
        <v>3.0052683665985598E-3</v>
      </c>
      <c r="E327" s="118"/>
      <c r="F327" s="136"/>
      <c r="G327"/>
      <c r="H327"/>
      <c r="I327"/>
    </row>
    <row r="328" spans="2:9" x14ac:dyDescent="0.25">
      <c r="B328" s="188" t="s">
        <v>386</v>
      </c>
      <c r="C328" s="256">
        <f>G126</f>
        <v>1.4730559644227411E-3</v>
      </c>
      <c r="E328" s="118"/>
      <c r="F328" s="136"/>
      <c r="G328"/>
      <c r="H328"/>
      <c r="I328"/>
    </row>
    <row r="329" spans="2:9" x14ac:dyDescent="0.25">
      <c r="B329" s="188" t="s">
        <v>24</v>
      </c>
      <c r="C329" s="256">
        <f>G131</f>
        <v>2.3758013497809502E-3</v>
      </c>
      <c r="E329" s="118"/>
      <c r="F329" s="136"/>
      <c r="G329"/>
      <c r="H329"/>
      <c r="I329"/>
    </row>
    <row r="330" spans="2:9" x14ac:dyDescent="0.25">
      <c r="B330" s="188" t="s">
        <v>26</v>
      </c>
      <c r="C330" s="256">
        <f>G136</f>
        <v>2.6466457472734796E-3</v>
      </c>
      <c r="E330" s="118"/>
      <c r="F330" s="136"/>
      <c r="G330"/>
      <c r="H330"/>
      <c r="I330"/>
    </row>
    <row r="331" spans="2:9" x14ac:dyDescent="0.25">
      <c r="B331" s="188" t="s">
        <v>32</v>
      </c>
      <c r="C331" s="256" t="str">
        <f>G141</f>
        <v/>
      </c>
      <c r="F331" s="136"/>
      <c r="G331"/>
      <c r="H331"/>
      <c r="I331"/>
    </row>
    <row r="332" spans="2:9" x14ac:dyDescent="0.25">
      <c r="B332" s="188" t="s">
        <v>31</v>
      </c>
      <c r="C332" s="256" t="str">
        <f>G146</f>
        <v/>
      </c>
      <c r="F332" s="136"/>
      <c r="G332"/>
      <c r="H332"/>
      <c r="I332"/>
    </row>
    <row r="333" spans="2:9" x14ac:dyDescent="0.25">
      <c r="B333" s="188" t="s">
        <v>23</v>
      </c>
      <c r="C333" s="256" t="str">
        <f>G151</f>
        <v/>
      </c>
      <c r="F333" s="136"/>
      <c r="G333"/>
      <c r="H333"/>
      <c r="I333"/>
    </row>
    <row r="334" spans="2:9" x14ac:dyDescent="0.25">
      <c r="B334" s="188" t="s">
        <v>425</v>
      </c>
      <c r="C334" s="256">
        <f>G156</f>
        <v>2.18452676981E-3</v>
      </c>
      <c r="F334" s="136"/>
      <c r="G334"/>
      <c r="H334"/>
      <c r="I334"/>
    </row>
    <row r="335" spans="2:9" x14ac:dyDescent="0.25">
      <c r="B335" s="188" t="s">
        <v>406</v>
      </c>
      <c r="C335" s="256" t="str">
        <f>G161</f>
        <v/>
      </c>
      <c r="F335" s="136"/>
      <c r="G335"/>
      <c r="H335"/>
      <c r="I335"/>
    </row>
    <row r="336" spans="2:9" x14ac:dyDescent="0.25">
      <c r="B336" s="188" t="s">
        <v>422</v>
      </c>
      <c r="C336" s="256" t="str">
        <f>G166</f>
        <v/>
      </c>
      <c r="F336" s="136"/>
      <c r="G336"/>
      <c r="H336"/>
      <c r="I336"/>
    </row>
    <row r="337" spans="2:9" x14ac:dyDescent="0.25">
      <c r="B337" s="188" t="s">
        <v>29</v>
      </c>
      <c r="C337" s="256" t="str">
        <f>G171</f>
        <v/>
      </c>
      <c r="F337" s="136"/>
      <c r="G337"/>
      <c r="H337"/>
      <c r="I337"/>
    </row>
    <row r="338" spans="2:9" x14ac:dyDescent="0.25">
      <c r="B338" s="189" t="s">
        <v>22</v>
      </c>
      <c r="C338" s="256" t="str">
        <f>G176</f>
        <v/>
      </c>
      <c r="F338" s="136"/>
      <c r="G338"/>
      <c r="H338"/>
      <c r="I338"/>
    </row>
    <row r="339" spans="2:9" x14ac:dyDescent="0.25">
      <c r="B339" s="188" t="s">
        <v>408</v>
      </c>
      <c r="C339" s="256" t="str">
        <f>G181</f>
        <v/>
      </c>
      <c r="F339" s="136"/>
      <c r="G339"/>
      <c r="H339"/>
      <c r="I339"/>
    </row>
    <row r="340" spans="2:9" x14ac:dyDescent="0.25">
      <c r="B340" s="188" t="s">
        <v>409</v>
      </c>
      <c r="C340" s="256" t="str">
        <f>G186</f>
        <v/>
      </c>
      <c r="F340" s="136"/>
      <c r="G340"/>
      <c r="H340"/>
      <c r="I340"/>
    </row>
    <row r="341" spans="2:9" x14ac:dyDescent="0.25">
      <c r="B341" s="188" t="s">
        <v>613</v>
      </c>
      <c r="C341" s="256" t="str">
        <f>G191</f>
        <v/>
      </c>
      <c r="F341" s="136"/>
      <c r="G341"/>
      <c r="H341"/>
      <c r="I341"/>
    </row>
    <row r="342" spans="2:9" x14ac:dyDescent="0.25">
      <c r="B342" s="188" t="s">
        <v>420</v>
      </c>
      <c r="C342" s="256" t="str">
        <f>G196</f>
        <v/>
      </c>
      <c r="F342" s="136"/>
      <c r="G342"/>
      <c r="H342"/>
      <c r="I342"/>
    </row>
    <row r="343" spans="2:9" ht="13.8" thickBot="1" x14ac:dyDescent="0.3">
      <c r="B343" s="190" t="s">
        <v>411</v>
      </c>
      <c r="C343" s="257" t="str">
        <f>G201</f>
        <v/>
      </c>
      <c r="F343" s="136"/>
      <c r="G343"/>
      <c r="H343"/>
      <c r="I343"/>
    </row>
    <row r="344" spans="2:9" x14ac:dyDescent="0.25">
      <c r="B344" s="132" t="s">
        <v>108</v>
      </c>
      <c r="F344" s="136"/>
      <c r="G344"/>
      <c r="H344"/>
      <c r="I344"/>
    </row>
    <row r="345" spans="2:9" x14ac:dyDescent="0.25">
      <c r="F345" s="136"/>
      <c r="G345"/>
      <c r="H345"/>
      <c r="I345"/>
    </row>
    <row r="346" spans="2:9" ht="16.2" thickBot="1" x14ac:dyDescent="0.3">
      <c r="B346" s="124" t="s">
        <v>698</v>
      </c>
    </row>
    <row r="347" spans="2:9" ht="13.8" thickBot="1" x14ac:dyDescent="0.3">
      <c r="B347" s="154" t="s">
        <v>21</v>
      </c>
      <c r="C347" s="169" t="s">
        <v>118</v>
      </c>
    </row>
    <row r="348" spans="2:9" x14ac:dyDescent="0.25">
      <c r="B348" s="188" t="s">
        <v>393</v>
      </c>
      <c r="C348" s="256">
        <f>G208</f>
        <v>1.8849599999999998E-3</v>
      </c>
    </row>
    <row r="349" spans="2:9" x14ac:dyDescent="0.25">
      <c r="B349" s="188" t="s">
        <v>395</v>
      </c>
      <c r="C349" s="256" t="str">
        <f>G212</f>
        <v/>
      </c>
    </row>
    <row r="350" spans="2:9" x14ac:dyDescent="0.25">
      <c r="B350" s="188" t="s">
        <v>415</v>
      </c>
      <c r="C350" s="256" t="str">
        <f>G216</f>
        <v/>
      </c>
    </row>
    <row r="351" spans="2:9" x14ac:dyDescent="0.25">
      <c r="B351" s="188" t="s">
        <v>416</v>
      </c>
      <c r="C351" s="256" t="str">
        <f>G220</f>
        <v/>
      </c>
    </row>
    <row r="352" spans="2:9" x14ac:dyDescent="0.25">
      <c r="B352" s="188" t="s">
        <v>417</v>
      </c>
      <c r="C352" s="256" t="str">
        <f>G224</f>
        <v/>
      </c>
    </row>
    <row r="353" spans="2:3" x14ac:dyDescent="0.25">
      <c r="B353" s="188" t="s">
        <v>418</v>
      </c>
      <c r="C353" s="256" t="str">
        <f>G228</f>
        <v/>
      </c>
    </row>
    <row r="354" spans="2:3" x14ac:dyDescent="0.25">
      <c r="B354" s="188" t="s">
        <v>423</v>
      </c>
      <c r="C354" s="256" t="str">
        <f>G232</f>
        <v/>
      </c>
    </row>
    <row r="355" spans="2:3" ht="13.8" thickBot="1" x14ac:dyDescent="0.3">
      <c r="B355" s="190" t="s">
        <v>424</v>
      </c>
      <c r="C355" s="257" t="str">
        <f>G236</f>
        <v/>
      </c>
    </row>
    <row r="356" spans="2:3" x14ac:dyDescent="0.25">
      <c r="B356" s="170" t="s">
        <v>673</v>
      </c>
    </row>
  </sheetData>
  <sortState xmlns:xlrd2="http://schemas.microsoft.com/office/spreadsheetml/2017/richdata2" ref="F321:F344">
    <sortCondition ref="F320:F344"/>
  </sortState>
  <mergeCells count="10">
    <mergeCell ref="B80:G80"/>
    <mergeCell ref="B203:G203"/>
    <mergeCell ref="B298:F298"/>
    <mergeCell ref="B316:F316"/>
    <mergeCell ref="G4:G5"/>
    <mergeCell ref="B4:C5"/>
    <mergeCell ref="D4:D5"/>
    <mergeCell ref="B66:B71"/>
    <mergeCell ref="B76:B78"/>
    <mergeCell ref="B238:G238"/>
  </mergeCells>
  <phoneticPr fontId="3" type="noConversion"/>
  <pageMargins left="0.75" right="0.75" top="1" bottom="1" header="0.5" footer="0.5"/>
  <pageSetup scale="43" orientation="portrait" r:id="rId1"/>
  <headerFooter alignWithMargins="0"/>
  <colBreaks count="1" manualBreakCount="1">
    <brk id="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59999389629810485"/>
  </sheetPr>
  <dimension ref="B2:S436"/>
  <sheetViews>
    <sheetView workbookViewId="0">
      <selection activeCell="C38" sqref="C38"/>
    </sheetView>
  </sheetViews>
  <sheetFormatPr defaultRowHeight="13.2" x14ac:dyDescent="0.25"/>
  <cols>
    <col min="2" max="2" width="23.44140625" customWidth="1"/>
    <col min="3" max="3" width="22.6640625" customWidth="1"/>
    <col min="4" max="4" width="19.5546875" customWidth="1"/>
    <col min="5" max="16" width="13.88671875" customWidth="1"/>
    <col min="17" max="17" width="19.109375" customWidth="1"/>
    <col min="18" max="19" width="13.88671875" customWidth="1"/>
    <col min="20" max="20" width="14.109375" customWidth="1"/>
    <col min="21" max="21" width="18.88671875" customWidth="1"/>
    <col min="22" max="22" width="15.5546875" customWidth="1"/>
  </cols>
  <sheetData>
    <row r="2" spans="2:19" ht="17.399999999999999" x14ac:dyDescent="0.3">
      <c r="B2" s="49" t="s">
        <v>238</v>
      </c>
    </row>
    <row r="4" spans="2:19" ht="14.4" thickBot="1" x14ac:dyDescent="0.3">
      <c r="B4" s="125" t="s">
        <v>599</v>
      </c>
    </row>
    <row r="5" spans="2:19" ht="21" customHeight="1" thickBot="1" x14ac:dyDescent="0.3">
      <c r="B5" s="681" t="s">
        <v>722</v>
      </c>
      <c r="C5" s="682"/>
      <c r="D5" s="682"/>
      <c r="E5" s="682"/>
      <c r="F5" s="682"/>
      <c r="G5" s="682"/>
      <c r="H5" s="682"/>
      <c r="I5" s="682"/>
      <c r="J5" s="682"/>
      <c r="K5" s="682"/>
      <c r="L5" s="682"/>
      <c r="M5" s="682"/>
      <c r="N5" s="682"/>
      <c r="O5" s="682"/>
      <c r="P5" s="682"/>
      <c r="Q5" s="682"/>
      <c r="R5" s="682"/>
      <c r="S5" s="683"/>
    </row>
    <row r="6" spans="2:19" ht="14.4" thickBot="1" x14ac:dyDescent="0.3">
      <c r="B6" s="691" t="s">
        <v>43</v>
      </c>
      <c r="C6" s="692"/>
      <c r="D6" s="687" t="s">
        <v>125</v>
      </c>
      <c r="E6" s="688"/>
      <c r="F6" s="689" t="s">
        <v>134</v>
      </c>
      <c r="G6" s="692"/>
      <c r="H6" s="687" t="s">
        <v>126</v>
      </c>
      <c r="I6" s="688"/>
      <c r="J6" s="689" t="s">
        <v>127</v>
      </c>
      <c r="K6" s="692"/>
      <c r="L6" s="687" t="s">
        <v>128</v>
      </c>
      <c r="M6" s="688"/>
      <c r="N6" s="689" t="s">
        <v>129</v>
      </c>
      <c r="O6" s="692"/>
      <c r="P6" s="687" t="s">
        <v>130</v>
      </c>
      <c r="Q6" s="688"/>
      <c r="R6" s="689" t="s">
        <v>131</v>
      </c>
      <c r="S6" s="690"/>
    </row>
    <row r="7" spans="2:19" x14ac:dyDescent="0.25">
      <c r="B7" s="7" t="s">
        <v>397</v>
      </c>
      <c r="C7" s="8">
        <v>3</v>
      </c>
      <c r="D7" s="7" t="s">
        <v>397</v>
      </c>
      <c r="E7" s="18">
        <v>3</v>
      </c>
      <c r="F7" s="8" t="s">
        <v>397</v>
      </c>
      <c r="G7" s="8">
        <v>3</v>
      </c>
      <c r="H7" s="7" t="s">
        <v>397</v>
      </c>
      <c r="I7" s="18">
        <v>10</v>
      </c>
      <c r="J7" s="8" t="s">
        <v>397</v>
      </c>
      <c r="K7" s="8">
        <v>10</v>
      </c>
      <c r="L7" s="8" t="s">
        <v>397</v>
      </c>
      <c r="M7" s="18">
        <v>10</v>
      </c>
      <c r="N7" s="8" t="s">
        <v>397</v>
      </c>
      <c r="O7" s="8">
        <v>10</v>
      </c>
      <c r="P7" s="8" t="s">
        <v>397</v>
      </c>
      <c r="Q7" s="18">
        <v>10</v>
      </c>
      <c r="R7" s="8" t="s">
        <v>397</v>
      </c>
      <c r="S7" s="18">
        <v>10</v>
      </c>
    </row>
    <row r="8" spans="2:19" x14ac:dyDescent="0.25">
      <c r="B8" s="2" t="s">
        <v>22</v>
      </c>
      <c r="C8">
        <v>3</v>
      </c>
      <c r="D8" s="2" t="s">
        <v>22</v>
      </c>
      <c r="E8" s="3">
        <v>3</v>
      </c>
      <c r="F8" t="s">
        <v>22</v>
      </c>
      <c r="G8">
        <v>3</v>
      </c>
      <c r="H8" s="2" t="s">
        <v>22</v>
      </c>
      <c r="I8" s="3">
        <v>10</v>
      </c>
      <c r="J8" t="s">
        <v>22</v>
      </c>
      <c r="K8">
        <v>10</v>
      </c>
      <c r="L8" t="s">
        <v>22</v>
      </c>
      <c r="M8" s="3">
        <v>10</v>
      </c>
      <c r="N8" t="s">
        <v>22</v>
      </c>
      <c r="O8">
        <v>10</v>
      </c>
      <c r="P8" t="s">
        <v>22</v>
      </c>
      <c r="Q8" s="3">
        <v>10</v>
      </c>
      <c r="R8" t="s">
        <v>22</v>
      </c>
      <c r="S8" s="3">
        <v>10</v>
      </c>
    </row>
    <row r="9" spans="2:19" x14ac:dyDescent="0.25">
      <c r="B9" s="2" t="s">
        <v>406</v>
      </c>
      <c r="C9">
        <v>3</v>
      </c>
      <c r="D9" s="2" t="s">
        <v>406</v>
      </c>
      <c r="E9" s="3">
        <v>3</v>
      </c>
      <c r="F9" t="s">
        <v>406</v>
      </c>
      <c r="G9">
        <v>3</v>
      </c>
      <c r="H9" s="2" t="s">
        <v>406</v>
      </c>
      <c r="I9" s="3">
        <v>10</v>
      </c>
      <c r="J9" t="s">
        <v>406</v>
      </c>
      <c r="K9">
        <v>10</v>
      </c>
      <c r="L9" t="s">
        <v>406</v>
      </c>
      <c r="M9" s="3">
        <v>10</v>
      </c>
      <c r="N9" t="s">
        <v>406</v>
      </c>
      <c r="O9">
        <v>10</v>
      </c>
      <c r="P9" t="s">
        <v>406</v>
      </c>
      <c r="Q9" s="3">
        <v>10</v>
      </c>
      <c r="R9" t="s">
        <v>406</v>
      </c>
      <c r="S9" s="3">
        <v>10</v>
      </c>
    </row>
    <row r="10" spans="2:19" x14ac:dyDescent="0.25">
      <c r="B10" s="2" t="s">
        <v>398</v>
      </c>
      <c r="C10">
        <v>3</v>
      </c>
      <c r="D10" s="2" t="s">
        <v>398</v>
      </c>
      <c r="E10" s="3">
        <v>3</v>
      </c>
      <c r="F10" t="s">
        <v>398</v>
      </c>
      <c r="G10">
        <v>3</v>
      </c>
      <c r="H10" s="2" t="s">
        <v>398</v>
      </c>
      <c r="I10" s="3">
        <v>10</v>
      </c>
      <c r="J10" t="s">
        <v>398</v>
      </c>
      <c r="K10">
        <v>10</v>
      </c>
      <c r="L10" t="s">
        <v>398</v>
      </c>
      <c r="M10" s="3">
        <v>10</v>
      </c>
      <c r="N10" t="s">
        <v>398</v>
      </c>
      <c r="O10">
        <v>10</v>
      </c>
      <c r="P10" t="s">
        <v>398</v>
      </c>
      <c r="Q10" s="3">
        <v>10</v>
      </c>
      <c r="R10" t="s">
        <v>398</v>
      </c>
      <c r="S10" s="3">
        <v>10</v>
      </c>
    </row>
    <row r="11" spans="2:19" x14ac:dyDescent="0.25">
      <c r="B11" s="2" t="s">
        <v>399</v>
      </c>
      <c r="C11">
        <v>3</v>
      </c>
      <c r="D11" s="2" t="s">
        <v>399</v>
      </c>
      <c r="E11" s="3">
        <v>3</v>
      </c>
      <c r="F11" t="s">
        <v>399</v>
      </c>
      <c r="G11">
        <v>3</v>
      </c>
      <c r="H11" s="2" t="s">
        <v>399</v>
      </c>
      <c r="I11" s="3">
        <v>10</v>
      </c>
      <c r="J11" t="s">
        <v>399</v>
      </c>
      <c r="K11">
        <v>10</v>
      </c>
      <c r="L11" t="s">
        <v>399</v>
      </c>
      <c r="M11" s="3">
        <v>10</v>
      </c>
      <c r="N11" t="s">
        <v>399</v>
      </c>
      <c r="O11">
        <v>10</v>
      </c>
      <c r="P11" t="s">
        <v>399</v>
      </c>
      <c r="Q11" s="3">
        <v>10</v>
      </c>
      <c r="R11" t="s">
        <v>399</v>
      </c>
      <c r="S11" s="3">
        <v>10</v>
      </c>
    </row>
    <row r="12" spans="2:19" x14ac:dyDescent="0.25">
      <c r="B12" s="2" t="s">
        <v>425</v>
      </c>
      <c r="C12">
        <v>3</v>
      </c>
      <c r="D12" s="2" t="s">
        <v>425</v>
      </c>
      <c r="E12" s="3">
        <v>3</v>
      </c>
      <c r="F12" t="s">
        <v>425</v>
      </c>
      <c r="G12">
        <v>3</v>
      </c>
      <c r="H12" s="2" t="s">
        <v>425</v>
      </c>
      <c r="I12" s="3">
        <v>10</v>
      </c>
      <c r="J12" t="s">
        <v>425</v>
      </c>
      <c r="K12">
        <v>10</v>
      </c>
      <c r="L12" t="s">
        <v>425</v>
      </c>
      <c r="M12" s="3">
        <v>10</v>
      </c>
      <c r="N12" t="s">
        <v>425</v>
      </c>
      <c r="O12">
        <v>10</v>
      </c>
      <c r="P12" t="s">
        <v>425</v>
      </c>
      <c r="Q12" s="3">
        <v>10</v>
      </c>
      <c r="R12" t="s">
        <v>425</v>
      </c>
      <c r="S12" s="3">
        <v>10</v>
      </c>
    </row>
    <row r="13" spans="2:19" x14ac:dyDescent="0.25">
      <c r="B13" s="2" t="s">
        <v>400</v>
      </c>
      <c r="C13">
        <v>3</v>
      </c>
      <c r="D13" s="2" t="s">
        <v>400</v>
      </c>
      <c r="E13" s="3">
        <v>3</v>
      </c>
      <c r="F13" t="s">
        <v>400</v>
      </c>
      <c r="G13">
        <v>3</v>
      </c>
      <c r="H13" s="2" t="s">
        <v>400</v>
      </c>
      <c r="I13" s="3">
        <v>10</v>
      </c>
      <c r="J13" t="s">
        <v>400</v>
      </c>
      <c r="K13">
        <v>10</v>
      </c>
      <c r="L13" t="s">
        <v>400</v>
      </c>
      <c r="M13" s="3">
        <v>10</v>
      </c>
      <c r="N13" t="s">
        <v>400</v>
      </c>
      <c r="O13">
        <v>10</v>
      </c>
      <c r="P13" t="s">
        <v>400</v>
      </c>
      <c r="Q13" s="3">
        <v>10</v>
      </c>
      <c r="R13" t="s">
        <v>400</v>
      </c>
      <c r="S13" s="3">
        <v>10</v>
      </c>
    </row>
    <row r="14" spans="2:19" x14ac:dyDescent="0.25">
      <c r="B14" s="2" t="s">
        <v>401</v>
      </c>
      <c r="C14">
        <v>3</v>
      </c>
      <c r="D14" s="2" t="s">
        <v>401</v>
      </c>
      <c r="E14" s="3">
        <v>3</v>
      </c>
      <c r="F14" t="s">
        <v>401</v>
      </c>
      <c r="G14">
        <v>3</v>
      </c>
      <c r="H14" s="2" t="s">
        <v>401</v>
      </c>
      <c r="I14" s="3">
        <v>10</v>
      </c>
      <c r="J14" t="s">
        <v>401</v>
      </c>
      <c r="K14">
        <v>10</v>
      </c>
      <c r="L14" t="s">
        <v>401</v>
      </c>
      <c r="M14" s="3">
        <v>10</v>
      </c>
      <c r="N14" t="s">
        <v>401</v>
      </c>
      <c r="O14">
        <v>10</v>
      </c>
      <c r="P14" t="s">
        <v>401</v>
      </c>
      <c r="Q14" s="3">
        <v>10</v>
      </c>
      <c r="R14" t="s">
        <v>401</v>
      </c>
      <c r="S14" s="3">
        <v>10</v>
      </c>
    </row>
    <row r="15" spans="2:19" x14ac:dyDescent="0.25">
      <c r="B15" s="2" t="s">
        <v>383</v>
      </c>
      <c r="C15">
        <v>3</v>
      </c>
      <c r="D15" s="2" t="s">
        <v>383</v>
      </c>
      <c r="E15" s="3">
        <v>3</v>
      </c>
      <c r="F15" t="s">
        <v>383</v>
      </c>
      <c r="G15">
        <v>3</v>
      </c>
      <c r="H15" s="2" t="s">
        <v>383</v>
      </c>
      <c r="I15" s="3">
        <v>10</v>
      </c>
      <c r="J15" t="s">
        <v>383</v>
      </c>
      <c r="K15">
        <v>10</v>
      </c>
      <c r="L15" t="s">
        <v>383</v>
      </c>
      <c r="M15" s="3">
        <v>10</v>
      </c>
      <c r="N15" t="s">
        <v>383</v>
      </c>
      <c r="O15">
        <v>10</v>
      </c>
      <c r="P15" t="s">
        <v>383</v>
      </c>
      <c r="Q15" s="3">
        <v>10</v>
      </c>
      <c r="R15" t="s">
        <v>383</v>
      </c>
      <c r="S15" s="3">
        <v>10</v>
      </c>
    </row>
    <row r="16" spans="2:19" x14ac:dyDescent="0.25">
      <c r="B16" s="2" t="s">
        <v>384</v>
      </c>
      <c r="C16">
        <v>3</v>
      </c>
      <c r="D16" s="2" t="s">
        <v>384</v>
      </c>
      <c r="E16" s="3">
        <v>3</v>
      </c>
      <c r="F16" t="s">
        <v>384</v>
      </c>
      <c r="G16">
        <v>3</v>
      </c>
      <c r="H16" s="2" t="s">
        <v>384</v>
      </c>
      <c r="I16" s="3">
        <v>10</v>
      </c>
      <c r="J16" t="s">
        <v>384</v>
      </c>
      <c r="K16">
        <v>10</v>
      </c>
      <c r="L16" t="s">
        <v>384</v>
      </c>
      <c r="M16" s="3">
        <v>10</v>
      </c>
      <c r="N16" t="s">
        <v>384</v>
      </c>
      <c r="O16">
        <v>10</v>
      </c>
      <c r="P16" t="s">
        <v>384</v>
      </c>
      <c r="Q16" s="3">
        <v>10</v>
      </c>
      <c r="R16" t="s">
        <v>384</v>
      </c>
      <c r="S16" s="3">
        <v>10</v>
      </c>
    </row>
    <row r="17" spans="2:19" x14ac:dyDescent="0.25">
      <c r="B17" s="2" t="s">
        <v>385</v>
      </c>
      <c r="C17">
        <v>3</v>
      </c>
      <c r="D17" s="2" t="s">
        <v>385</v>
      </c>
      <c r="E17" s="3">
        <v>3</v>
      </c>
      <c r="F17" t="s">
        <v>385</v>
      </c>
      <c r="G17">
        <v>3</v>
      </c>
      <c r="H17" s="2" t="s">
        <v>385</v>
      </c>
      <c r="I17" s="3">
        <v>10</v>
      </c>
      <c r="J17" t="s">
        <v>385</v>
      </c>
      <c r="K17">
        <v>10</v>
      </c>
      <c r="L17" t="s">
        <v>385</v>
      </c>
      <c r="M17" s="3">
        <v>10</v>
      </c>
      <c r="N17" t="s">
        <v>385</v>
      </c>
      <c r="O17">
        <v>10</v>
      </c>
      <c r="P17" t="s">
        <v>385</v>
      </c>
      <c r="Q17" s="3">
        <v>10</v>
      </c>
      <c r="R17" t="s">
        <v>385</v>
      </c>
      <c r="S17" s="3">
        <v>10</v>
      </c>
    </row>
    <row r="18" spans="2:19" x14ac:dyDescent="0.25">
      <c r="B18" s="2" t="s">
        <v>386</v>
      </c>
      <c r="C18">
        <v>1</v>
      </c>
      <c r="D18" s="2" t="s">
        <v>386</v>
      </c>
      <c r="E18" s="3">
        <v>1</v>
      </c>
      <c r="F18" t="s">
        <v>386</v>
      </c>
      <c r="G18">
        <v>1</v>
      </c>
      <c r="H18" s="2" t="s">
        <v>386</v>
      </c>
      <c r="I18" s="3">
        <v>5</v>
      </c>
      <c r="J18" t="s">
        <v>386</v>
      </c>
      <c r="K18">
        <v>5</v>
      </c>
      <c r="L18" t="s">
        <v>386</v>
      </c>
      <c r="M18" s="3">
        <v>5</v>
      </c>
      <c r="N18" t="s">
        <v>386</v>
      </c>
      <c r="O18">
        <v>5</v>
      </c>
      <c r="P18" t="s">
        <v>386</v>
      </c>
      <c r="Q18" s="3">
        <v>5</v>
      </c>
      <c r="R18" t="s">
        <v>386</v>
      </c>
      <c r="S18" s="3">
        <v>5</v>
      </c>
    </row>
    <row r="19" spans="2:19" x14ac:dyDescent="0.25">
      <c r="B19" s="2" t="s">
        <v>23</v>
      </c>
      <c r="C19">
        <v>1</v>
      </c>
      <c r="D19" s="2" t="s">
        <v>23</v>
      </c>
      <c r="E19" s="3">
        <v>1</v>
      </c>
      <c r="F19" t="s">
        <v>23</v>
      </c>
      <c r="G19">
        <v>1</v>
      </c>
      <c r="H19" s="2" t="s">
        <v>23</v>
      </c>
      <c r="I19" s="3">
        <v>5</v>
      </c>
      <c r="J19" t="s">
        <v>23</v>
      </c>
      <c r="K19">
        <v>5</v>
      </c>
      <c r="L19" t="s">
        <v>23</v>
      </c>
      <c r="M19" s="3">
        <v>5</v>
      </c>
      <c r="N19" t="s">
        <v>23</v>
      </c>
      <c r="O19">
        <v>5</v>
      </c>
      <c r="P19" t="s">
        <v>23</v>
      </c>
      <c r="Q19" s="3">
        <v>5</v>
      </c>
      <c r="R19" t="s">
        <v>23</v>
      </c>
      <c r="S19" s="3">
        <v>5</v>
      </c>
    </row>
    <row r="20" spans="2:19" x14ac:dyDescent="0.25">
      <c r="B20" s="2" t="s">
        <v>24</v>
      </c>
      <c r="C20">
        <v>3</v>
      </c>
      <c r="D20" s="2" t="s">
        <v>24</v>
      </c>
      <c r="E20" s="3">
        <v>3</v>
      </c>
      <c r="F20" t="s">
        <v>24</v>
      </c>
      <c r="G20">
        <v>3</v>
      </c>
      <c r="H20" s="2" t="s">
        <v>24</v>
      </c>
      <c r="I20" s="3">
        <v>10</v>
      </c>
      <c r="J20" t="s">
        <v>24</v>
      </c>
      <c r="K20">
        <v>10</v>
      </c>
      <c r="L20" t="s">
        <v>24</v>
      </c>
      <c r="M20" s="3">
        <v>10</v>
      </c>
      <c r="N20" t="s">
        <v>24</v>
      </c>
      <c r="O20">
        <v>10</v>
      </c>
      <c r="P20" t="s">
        <v>24</v>
      </c>
      <c r="Q20" s="3">
        <v>10</v>
      </c>
      <c r="R20" t="s">
        <v>24</v>
      </c>
      <c r="S20" s="3">
        <v>10</v>
      </c>
    </row>
    <row r="21" spans="2:19" x14ac:dyDescent="0.25">
      <c r="B21" s="2" t="s">
        <v>25</v>
      </c>
      <c r="C21">
        <v>3</v>
      </c>
      <c r="D21" s="2" t="s">
        <v>25</v>
      </c>
      <c r="E21" s="3">
        <v>3</v>
      </c>
      <c r="F21" t="s">
        <v>25</v>
      </c>
      <c r="G21">
        <v>3</v>
      </c>
      <c r="H21" s="2" t="s">
        <v>25</v>
      </c>
      <c r="I21" s="3">
        <v>10</v>
      </c>
      <c r="J21" t="s">
        <v>25</v>
      </c>
      <c r="K21">
        <v>10</v>
      </c>
      <c r="L21" t="s">
        <v>25</v>
      </c>
      <c r="M21" s="3">
        <v>10</v>
      </c>
      <c r="N21" t="s">
        <v>25</v>
      </c>
      <c r="O21">
        <v>10</v>
      </c>
      <c r="P21" t="s">
        <v>25</v>
      </c>
      <c r="Q21" s="3">
        <v>10</v>
      </c>
      <c r="R21" t="s">
        <v>25</v>
      </c>
      <c r="S21" s="3">
        <v>10</v>
      </c>
    </row>
    <row r="22" spans="2:19" x14ac:dyDescent="0.25">
      <c r="B22" s="2" t="s">
        <v>26</v>
      </c>
      <c r="C22">
        <v>3</v>
      </c>
      <c r="D22" s="2" t="s">
        <v>26</v>
      </c>
      <c r="E22" s="3">
        <v>3</v>
      </c>
      <c r="F22" t="s">
        <v>26</v>
      </c>
      <c r="G22">
        <v>3</v>
      </c>
      <c r="H22" s="2" t="s">
        <v>26</v>
      </c>
      <c r="I22" s="3">
        <v>10</v>
      </c>
      <c r="J22" t="s">
        <v>26</v>
      </c>
      <c r="K22">
        <v>10</v>
      </c>
      <c r="L22" t="s">
        <v>26</v>
      </c>
      <c r="M22" s="3">
        <v>10</v>
      </c>
      <c r="N22" t="s">
        <v>26</v>
      </c>
      <c r="O22">
        <v>10</v>
      </c>
      <c r="P22" t="s">
        <v>26</v>
      </c>
      <c r="Q22" s="3">
        <v>10</v>
      </c>
      <c r="R22" t="s">
        <v>26</v>
      </c>
      <c r="S22" s="3">
        <v>10</v>
      </c>
    </row>
    <row r="23" spans="2:19" x14ac:dyDescent="0.25">
      <c r="B23" s="2" t="s">
        <v>407</v>
      </c>
      <c r="C23">
        <v>3</v>
      </c>
      <c r="D23" s="2" t="s">
        <v>407</v>
      </c>
      <c r="E23" s="3">
        <v>3</v>
      </c>
      <c r="F23" t="s">
        <v>407</v>
      </c>
      <c r="G23">
        <v>3</v>
      </c>
      <c r="H23" s="2" t="s">
        <v>407</v>
      </c>
      <c r="I23" s="3">
        <v>10</v>
      </c>
      <c r="J23" t="s">
        <v>407</v>
      </c>
      <c r="K23">
        <v>10</v>
      </c>
      <c r="L23" t="s">
        <v>407</v>
      </c>
      <c r="M23" s="3">
        <v>10</v>
      </c>
      <c r="N23" t="s">
        <v>407</v>
      </c>
      <c r="O23">
        <v>10</v>
      </c>
      <c r="P23" t="s">
        <v>407</v>
      </c>
      <c r="Q23" s="3">
        <v>10</v>
      </c>
      <c r="R23" t="s">
        <v>407</v>
      </c>
      <c r="S23" s="3">
        <v>10</v>
      </c>
    </row>
    <row r="24" spans="2:19" x14ac:dyDescent="0.25">
      <c r="B24" s="2" t="s">
        <v>408</v>
      </c>
      <c r="C24">
        <v>3</v>
      </c>
      <c r="D24" s="2" t="s">
        <v>408</v>
      </c>
      <c r="E24" s="3">
        <v>3</v>
      </c>
      <c r="F24" t="s">
        <v>408</v>
      </c>
      <c r="G24">
        <v>3</v>
      </c>
      <c r="H24" s="2" t="s">
        <v>408</v>
      </c>
      <c r="I24" s="3">
        <v>10</v>
      </c>
      <c r="J24" t="s">
        <v>408</v>
      </c>
      <c r="K24">
        <v>10</v>
      </c>
      <c r="L24" t="s">
        <v>408</v>
      </c>
      <c r="M24" s="3">
        <v>10</v>
      </c>
      <c r="N24" t="s">
        <v>408</v>
      </c>
      <c r="O24">
        <v>10</v>
      </c>
      <c r="P24" t="s">
        <v>408</v>
      </c>
      <c r="Q24" s="3">
        <v>10</v>
      </c>
      <c r="R24" t="s">
        <v>408</v>
      </c>
      <c r="S24" s="3">
        <v>10</v>
      </c>
    </row>
    <row r="25" spans="2:19" x14ac:dyDescent="0.25">
      <c r="B25" s="2" t="s">
        <v>409</v>
      </c>
      <c r="C25">
        <v>1</v>
      </c>
      <c r="D25" s="2" t="s">
        <v>409</v>
      </c>
      <c r="E25" s="3">
        <v>1</v>
      </c>
      <c r="F25" t="s">
        <v>409</v>
      </c>
      <c r="G25">
        <v>1</v>
      </c>
      <c r="H25" s="2" t="s">
        <v>409</v>
      </c>
      <c r="I25" s="3">
        <v>5</v>
      </c>
      <c r="J25" t="s">
        <v>409</v>
      </c>
      <c r="K25">
        <v>5</v>
      </c>
      <c r="L25" t="s">
        <v>409</v>
      </c>
      <c r="M25" s="3">
        <v>5</v>
      </c>
      <c r="N25" t="s">
        <v>409</v>
      </c>
      <c r="O25">
        <v>5</v>
      </c>
      <c r="P25" t="s">
        <v>409</v>
      </c>
      <c r="Q25" s="3">
        <v>5</v>
      </c>
      <c r="R25" t="s">
        <v>409</v>
      </c>
      <c r="S25" s="3">
        <v>5</v>
      </c>
    </row>
    <row r="26" spans="2:19" x14ac:dyDescent="0.25">
      <c r="B26" s="2" t="s">
        <v>410</v>
      </c>
      <c r="C26">
        <v>3</v>
      </c>
      <c r="D26" s="2" t="s">
        <v>410</v>
      </c>
      <c r="E26" s="3">
        <v>3</v>
      </c>
      <c r="F26" t="s">
        <v>410</v>
      </c>
      <c r="G26">
        <v>3</v>
      </c>
      <c r="H26" s="2" t="s">
        <v>410</v>
      </c>
      <c r="I26" s="3">
        <v>10</v>
      </c>
      <c r="J26" t="s">
        <v>410</v>
      </c>
      <c r="K26">
        <v>10</v>
      </c>
      <c r="L26" t="s">
        <v>410</v>
      </c>
      <c r="M26" s="3">
        <v>10</v>
      </c>
      <c r="N26" t="s">
        <v>410</v>
      </c>
      <c r="O26">
        <v>10</v>
      </c>
      <c r="P26" t="s">
        <v>410</v>
      </c>
      <c r="Q26" s="3">
        <v>10</v>
      </c>
      <c r="R26" t="s">
        <v>410</v>
      </c>
      <c r="S26" s="3">
        <v>10</v>
      </c>
    </row>
    <row r="27" spans="2:19" x14ac:dyDescent="0.25">
      <c r="B27" s="2" t="s">
        <v>411</v>
      </c>
      <c r="C27">
        <v>3</v>
      </c>
      <c r="D27" s="2" t="s">
        <v>411</v>
      </c>
      <c r="E27" s="3">
        <v>3</v>
      </c>
      <c r="F27" t="s">
        <v>411</v>
      </c>
      <c r="G27">
        <v>3</v>
      </c>
      <c r="H27" s="2" t="s">
        <v>411</v>
      </c>
      <c r="I27" s="3">
        <v>10</v>
      </c>
      <c r="J27" t="s">
        <v>411</v>
      </c>
      <c r="K27">
        <v>10</v>
      </c>
      <c r="L27" t="s">
        <v>411</v>
      </c>
      <c r="M27" s="3">
        <v>10</v>
      </c>
      <c r="N27" t="s">
        <v>411</v>
      </c>
      <c r="O27">
        <v>10</v>
      </c>
      <c r="P27" t="s">
        <v>411</v>
      </c>
      <c r="Q27" s="3">
        <v>10</v>
      </c>
      <c r="R27" t="s">
        <v>411</v>
      </c>
      <c r="S27" s="3">
        <v>10</v>
      </c>
    </row>
    <row r="28" spans="2:19" x14ac:dyDescent="0.25">
      <c r="B28" s="2" t="s">
        <v>412</v>
      </c>
      <c r="C28">
        <v>3</v>
      </c>
      <c r="D28" s="2" t="s">
        <v>412</v>
      </c>
      <c r="E28" s="3">
        <v>3</v>
      </c>
      <c r="F28" t="s">
        <v>412</v>
      </c>
      <c r="G28">
        <v>3</v>
      </c>
      <c r="H28" s="2" t="s">
        <v>412</v>
      </c>
      <c r="I28" s="3">
        <v>10</v>
      </c>
      <c r="J28" t="s">
        <v>412</v>
      </c>
      <c r="K28">
        <v>10</v>
      </c>
      <c r="L28" t="s">
        <v>412</v>
      </c>
      <c r="M28" s="3">
        <v>10</v>
      </c>
      <c r="N28" t="s">
        <v>412</v>
      </c>
      <c r="O28">
        <v>10</v>
      </c>
      <c r="P28" t="s">
        <v>412</v>
      </c>
      <c r="Q28" s="3">
        <v>10</v>
      </c>
      <c r="R28" t="s">
        <v>412</v>
      </c>
      <c r="S28" s="3">
        <v>10</v>
      </c>
    </row>
    <row r="29" spans="2:19" x14ac:dyDescent="0.25">
      <c r="B29" s="2" t="s">
        <v>27</v>
      </c>
      <c r="C29">
        <v>1</v>
      </c>
      <c r="D29" s="2" t="s">
        <v>27</v>
      </c>
      <c r="E29" s="3">
        <v>10</v>
      </c>
      <c r="F29" t="s">
        <v>27</v>
      </c>
      <c r="G29">
        <v>10</v>
      </c>
      <c r="H29" s="2" t="s">
        <v>27</v>
      </c>
      <c r="I29" s="3">
        <v>10</v>
      </c>
      <c r="J29" t="s">
        <v>27</v>
      </c>
      <c r="K29">
        <v>10</v>
      </c>
      <c r="L29" t="s">
        <v>27</v>
      </c>
      <c r="M29" s="3">
        <v>300</v>
      </c>
      <c r="N29" t="s">
        <v>27</v>
      </c>
      <c r="O29">
        <v>300</v>
      </c>
      <c r="P29" t="s">
        <v>27</v>
      </c>
      <c r="Q29" s="3">
        <v>300</v>
      </c>
      <c r="R29" t="s">
        <v>27</v>
      </c>
      <c r="S29" s="3">
        <v>300</v>
      </c>
    </row>
    <row r="30" spans="2:19" x14ac:dyDescent="0.25">
      <c r="B30" s="2" t="s">
        <v>387</v>
      </c>
      <c r="C30">
        <v>1</v>
      </c>
      <c r="D30" s="2" t="s">
        <v>387</v>
      </c>
      <c r="E30" s="3">
        <v>10</v>
      </c>
      <c r="F30" t="s">
        <v>387</v>
      </c>
      <c r="G30">
        <v>10</v>
      </c>
      <c r="H30" s="2" t="s">
        <v>387</v>
      </c>
      <c r="I30" s="3">
        <v>10</v>
      </c>
      <c r="J30" t="s">
        <v>387</v>
      </c>
      <c r="K30">
        <v>10</v>
      </c>
      <c r="L30" t="s">
        <v>387</v>
      </c>
      <c r="M30" s="3">
        <v>300</v>
      </c>
      <c r="N30" t="s">
        <v>387</v>
      </c>
      <c r="O30">
        <v>300</v>
      </c>
      <c r="P30" t="s">
        <v>387</v>
      </c>
      <c r="Q30" s="3">
        <v>300</v>
      </c>
      <c r="R30" t="s">
        <v>387</v>
      </c>
      <c r="S30" s="3">
        <v>300</v>
      </c>
    </row>
    <row r="31" spans="2:19" x14ac:dyDescent="0.25">
      <c r="B31" s="2" t="s">
        <v>388</v>
      </c>
      <c r="C31">
        <v>1</v>
      </c>
      <c r="D31" s="2" t="s">
        <v>388</v>
      </c>
      <c r="E31" s="3">
        <v>10</v>
      </c>
      <c r="F31" t="s">
        <v>388</v>
      </c>
      <c r="G31">
        <v>10</v>
      </c>
      <c r="H31" s="2" t="s">
        <v>388</v>
      </c>
      <c r="I31" s="3">
        <v>10</v>
      </c>
      <c r="J31" t="s">
        <v>388</v>
      </c>
      <c r="K31">
        <v>10</v>
      </c>
      <c r="L31" t="s">
        <v>388</v>
      </c>
      <c r="M31" s="3">
        <v>300</v>
      </c>
      <c r="N31" t="s">
        <v>388</v>
      </c>
      <c r="O31">
        <v>300</v>
      </c>
      <c r="P31" t="s">
        <v>388</v>
      </c>
      <c r="Q31" s="3">
        <v>300</v>
      </c>
      <c r="R31" t="s">
        <v>388</v>
      </c>
      <c r="S31" s="3">
        <v>300</v>
      </c>
    </row>
    <row r="32" spans="2:19" x14ac:dyDescent="0.25">
      <c r="B32" s="2" t="s">
        <v>389</v>
      </c>
      <c r="C32">
        <v>1</v>
      </c>
      <c r="D32" s="2" t="s">
        <v>389</v>
      </c>
      <c r="E32" s="3">
        <v>10</v>
      </c>
      <c r="F32" t="s">
        <v>389</v>
      </c>
      <c r="G32">
        <v>10</v>
      </c>
      <c r="H32" s="2" t="s">
        <v>389</v>
      </c>
      <c r="I32" s="3">
        <v>10</v>
      </c>
      <c r="J32" t="s">
        <v>389</v>
      </c>
      <c r="K32">
        <v>10</v>
      </c>
      <c r="L32" t="s">
        <v>389</v>
      </c>
      <c r="M32" s="3">
        <v>300</v>
      </c>
      <c r="N32" t="s">
        <v>389</v>
      </c>
      <c r="O32">
        <v>300</v>
      </c>
      <c r="P32" t="s">
        <v>389</v>
      </c>
      <c r="Q32" s="3">
        <v>300</v>
      </c>
      <c r="R32" t="s">
        <v>389</v>
      </c>
      <c r="S32" s="3">
        <v>300</v>
      </c>
    </row>
    <row r="33" spans="2:19" x14ac:dyDescent="0.25">
      <c r="B33" s="2" t="s">
        <v>28</v>
      </c>
      <c r="C33">
        <v>1</v>
      </c>
      <c r="D33" s="2" t="s">
        <v>28</v>
      </c>
      <c r="E33" s="3">
        <v>10</v>
      </c>
      <c r="F33" t="s">
        <v>28</v>
      </c>
      <c r="G33">
        <v>10</v>
      </c>
      <c r="H33" s="2" t="s">
        <v>28</v>
      </c>
      <c r="I33" s="3">
        <v>10</v>
      </c>
      <c r="J33" t="s">
        <v>28</v>
      </c>
      <c r="K33">
        <v>10</v>
      </c>
      <c r="L33" t="s">
        <v>28</v>
      </c>
      <c r="M33" s="3">
        <v>300</v>
      </c>
      <c r="N33" t="s">
        <v>28</v>
      </c>
      <c r="O33">
        <v>300</v>
      </c>
      <c r="P33" t="s">
        <v>28</v>
      </c>
      <c r="Q33" s="3">
        <v>300</v>
      </c>
      <c r="R33" t="s">
        <v>28</v>
      </c>
      <c r="S33" s="3">
        <v>300</v>
      </c>
    </row>
    <row r="34" spans="2:19" x14ac:dyDescent="0.25">
      <c r="B34" s="2" t="s">
        <v>29</v>
      </c>
      <c r="C34">
        <v>1</v>
      </c>
      <c r="D34" s="2" t="s">
        <v>29</v>
      </c>
      <c r="E34" s="3">
        <v>10</v>
      </c>
      <c r="F34" t="s">
        <v>29</v>
      </c>
      <c r="G34">
        <v>10</v>
      </c>
      <c r="H34" s="2" t="s">
        <v>29</v>
      </c>
      <c r="I34" s="3">
        <v>10</v>
      </c>
      <c r="J34" t="s">
        <v>29</v>
      </c>
      <c r="K34">
        <v>10</v>
      </c>
      <c r="L34" t="s">
        <v>29</v>
      </c>
      <c r="M34" s="3">
        <v>300</v>
      </c>
      <c r="N34" t="s">
        <v>29</v>
      </c>
      <c r="O34">
        <v>300</v>
      </c>
      <c r="P34" t="s">
        <v>29</v>
      </c>
      <c r="Q34" s="3">
        <v>300</v>
      </c>
      <c r="R34" t="s">
        <v>29</v>
      </c>
      <c r="S34" s="3">
        <v>300</v>
      </c>
    </row>
    <row r="35" spans="2:19" x14ac:dyDescent="0.25">
      <c r="B35" s="2" t="s">
        <v>390</v>
      </c>
      <c r="C35">
        <v>1</v>
      </c>
      <c r="D35" s="2" t="s">
        <v>390</v>
      </c>
      <c r="E35" s="3">
        <v>10</v>
      </c>
      <c r="F35" t="s">
        <v>390</v>
      </c>
      <c r="G35">
        <v>10</v>
      </c>
      <c r="H35" s="2" t="s">
        <v>390</v>
      </c>
      <c r="I35" s="3">
        <v>10</v>
      </c>
      <c r="J35" t="s">
        <v>390</v>
      </c>
      <c r="K35">
        <v>10</v>
      </c>
      <c r="L35" t="s">
        <v>390</v>
      </c>
      <c r="M35" s="3">
        <v>300</v>
      </c>
      <c r="N35" t="s">
        <v>390</v>
      </c>
      <c r="O35">
        <v>300</v>
      </c>
      <c r="P35" t="s">
        <v>390</v>
      </c>
      <c r="Q35" s="3">
        <v>300</v>
      </c>
      <c r="R35" t="s">
        <v>390</v>
      </c>
      <c r="S35" s="3">
        <v>300</v>
      </c>
    </row>
    <row r="36" spans="2:19" x14ac:dyDescent="0.25">
      <c r="B36" s="2" t="s">
        <v>391</v>
      </c>
      <c r="C36">
        <v>1</v>
      </c>
      <c r="D36" s="2" t="s">
        <v>391</v>
      </c>
      <c r="E36" s="3">
        <v>10</v>
      </c>
      <c r="F36" t="s">
        <v>391</v>
      </c>
      <c r="G36">
        <v>10</v>
      </c>
      <c r="H36" s="2" t="s">
        <v>391</v>
      </c>
      <c r="I36" s="3">
        <v>10</v>
      </c>
      <c r="J36" t="s">
        <v>391</v>
      </c>
      <c r="K36">
        <v>10</v>
      </c>
      <c r="L36" t="s">
        <v>391</v>
      </c>
      <c r="M36" s="3">
        <v>300</v>
      </c>
      <c r="N36" t="s">
        <v>391</v>
      </c>
      <c r="O36">
        <v>300</v>
      </c>
      <c r="P36" t="s">
        <v>391</v>
      </c>
      <c r="Q36" s="3">
        <v>300</v>
      </c>
      <c r="R36" t="s">
        <v>391</v>
      </c>
      <c r="S36" s="3">
        <v>300</v>
      </c>
    </row>
    <row r="37" spans="2:19" x14ac:dyDescent="0.25">
      <c r="B37" s="2" t="s">
        <v>380</v>
      </c>
      <c r="C37">
        <v>1</v>
      </c>
      <c r="D37" s="2" t="s">
        <v>380</v>
      </c>
      <c r="E37" s="3">
        <v>10</v>
      </c>
      <c r="F37" t="s">
        <v>380</v>
      </c>
      <c r="G37">
        <v>10</v>
      </c>
      <c r="H37" s="2" t="s">
        <v>380</v>
      </c>
      <c r="I37" s="3">
        <v>10</v>
      </c>
      <c r="J37" t="s">
        <v>380</v>
      </c>
      <c r="K37">
        <v>10</v>
      </c>
      <c r="L37" t="s">
        <v>380</v>
      </c>
      <c r="M37" s="3">
        <v>300</v>
      </c>
      <c r="N37" t="s">
        <v>380</v>
      </c>
      <c r="O37">
        <v>300</v>
      </c>
      <c r="P37" t="s">
        <v>380</v>
      </c>
      <c r="Q37" s="3">
        <v>300</v>
      </c>
      <c r="R37" t="s">
        <v>380</v>
      </c>
      <c r="S37" s="3">
        <v>300</v>
      </c>
    </row>
    <row r="38" spans="2:19" x14ac:dyDescent="0.25">
      <c r="B38" s="2" t="s">
        <v>392</v>
      </c>
      <c r="C38">
        <v>1</v>
      </c>
      <c r="D38" s="2" t="s">
        <v>392</v>
      </c>
      <c r="E38" s="3">
        <v>10</v>
      </c>
      <c r="F38" t="s">
        <v>392</v>
      </c>
      <c r="G38">
        <v>10</v>
      </c>
      <c r="H38" s="2" t="s">
        <v>392</v>
      </c>
      <c r="I38" s="3">
        <v>10</v>
      </c>
      <c r="J38" t="s">
        <v>392</v>
      </c>
      <c r="K38">
        <v>10</v>
      </c>
      <c r="L38" t="s">
        <v>392</v>
      </c>
      <c r="M38" s="3">
        <v>300</v>
      </c>
      <c r="N38" t="s">
        <v>392</v>
      </c>
      <c r="O38">
        <v>300</v>
      </c>
      <c r="P38" t="s">
        <v>392</v>
      </c>
      <c r="Q38" s="3">
        <v>300</v>
      </c>
      <c r="R38" t="s">
        <v>392</v>
      </c>
      <c r="S38" s="3">
        <v>300</v>
      </c>
    </row>
    <row r="39" spans="2:19" x14ac:dyDescent="0.25">
      <c r="B39" s="2" t="s">
        <v>413</v>
      </c>
      <c r="C39">
        <v>1</v>
      </c>
      <c r="D39" s="2" t="s">
        <v>413</v>
      </c>
      <c r="E39" s="3">
        <v>1</v>
      </c>
      <c r="F39" t="s">
        <v>413</v>
      </c>
      <c r="G39">
        <v>1</v>
      </c>
      <c r="H39" s="2" t="s">
        <v>413</v>
      </c>
      <c r="I39" s="3">
        <v>5</v>
      </c>
      <c r="J39" t="s">
        <v>413</v>
      </c>
      <c r="K39">
        <v>5</v>
      </c>
      <c r="L39" t="s">
        <v>413</v>
      </c>
      <c r="M39" s="3">
        <v>5</v>
      </c>
      <c r="N39" t="s">
        <v>413</v>
      </c>
      <c r="O39">
        <v>5</v>
      </c>
      <c r="P39" t="s">
        <v>413</v>
      </c>
      <c r="Q39" s="3">
        <v>5</v>
      </c>
      <c r="R39" t="s">
        <v>413</v>
      </c>
      <c r="S39" s="3">
        <v>5</v>
      </c>
    </row>
    <row r="40" spans="2:19" x14ac:dyDescent="0.25">
      <c r="B40" s="2" t="s">
        <v>414</v>
      </c>
      <c r="C40">
        <v>1</v>
      </c>
      <c r="D40" s="2" t="s">
        <v>414</v>
      </c>
      <c r="E40" s="3">
        <v>10</v>
      </c>
      <c r="F40" t="s">
        <v>414</v>
      </c>
      <c r="G40">
        <v>10</v>
      </c>
      <c r="H40" s="2" t="s">
        <v>414</v>
      </c>
      <c r="I40" s="3">
        <v>10</v>
      </c>
      <c r="J40" t="s">
        <v>414</v>
      </c>
      <c r="K40">
        <v>10</v>
      </c>
      <c r="L40" t="s">
        <v>414</v>
      </c>
      <c r="M40" s="3">
        <v>300</v>
      </c>
      <c r="N40" t="s">
        <v>414</v>
      </c>
      <c r="O40">
        <v>300</v>
      </c>
      <c r="P40" t="s">
        <v>414</v>
      </c>
      <c r="Q40" s="3">
        <v>300</v>
      </c>
      <c r="R40" t="s">
        <v>414</v>
      </c>
      <c r="S40" s="3">
        <v>300</v>
      </c>
    </row>
    <row r="41" spans="2:19" x14ac:dyDescent="0.25">
      <c r="B41" s="2" t="s">
        <v>415</v>
      </c>
      <c r="C41">
        <v>1</v>
      </c>
      <c r="D41" s="2" t="s">
        <v>415</v>
      </c>
      <c r="E41" s="3">
        <v>1</v>
      </c>
      <c r="F41" t="s">
        <v>415</v>
      </c>
      <c r="G41">
        <v>1</v>
      </c>
      <c r="H41" s="2" t="s">
        <v>415</v>
      </c>
      <c r="I41" s="3">
        <v>5</v>
      </c>
      <c r="J41" t="s">
        <v>415</v>
      </c>
      <c r="K41">
        <v>5</v>
      </c>
      <c r="L41" t="s">
        <v>415</v>
      </c>
      <c r="M41" s="3">
        <v>5</v>
      </c>
      <c r="N41" t="s">
        <v>415</v>
      </c>
      <c r="O41">
        <v>5</v>
      </c>
      <c r="P41" t="s">
        <v>415</v>
      </c>
      <c r="Q41" s="3">
        <v>5</v>
      </c>
      <c r="R41" t="s">
        <v>415</v>
      </c>
      <c r="S41" s="3">
        <v>5</v>
      </c>
    </row>
    <row r="42" spans="2:19" x14ac:dyDescent="0.25">
      <c r="B42" s="2" t="s">
        <v>416</v>
      </c>
      <c r="C42">
        <v>1</v>
      </c>
      <c r="D42" s="2" t="s">
        <v>416</v>
      </c>
      <c r="E42" s="3">
        <v>1</v>
      </c>
      <c r="F42" t="s">
        <v>416</v>
      </c>
      <c r="G42">
        <v>1</v>
      </c>
      <c r="H42" s="2" t="s">
        <v>416</v>
      </c>
      <c r="I42" s="3">
        <v>5</v>
      </c>
      <c r="J42" t="s">
        <v>416</v>
      </c>
      <c r="K42">
        <v>5</v>
      </c>
      <c r="L42" t="s">
        <v>416</v>
      </c>
      <c r="M42" s="3">
        <v>5</v>
      </c>
      <c r="N42" t="s">
        <v>416</v>
      </c>
      <c r="O42">
        <v>5</v>
      </c>
      <c r="P42" t="s">
        <v>416</v>
      </c>
      <c r="Q42" s="3">
        <v>5</v>
      </c>
      <c r="R42" t="s">
        <v>416</v>
      </c>
      <c r="S42" s="3">
        <v>5</v>
      </c>
    </row>
    <row r="43" spans="2:19" x14ac:dyDescent="0.25">
      <c r="B43" s="2" t="s">
        <v>417</v>
      </c>
      <c r="C43">
        <v>1</v>
      </c>
      <c r="D43" s="2" t="s">
        <v>417</v>
      </c>
      <c r="E43" s="3">
        <v>1</v>
      </c>
      <c r="F43" t="s">
        <v>417</v>
      </c>
      <c r="G43">
        <v>1</v>
      </c>
      <c r="H43" s="2" t="s">
        <v>417</v>
      </c>
      <c r="I43" s="3">
        <v>5</v>
      </c>
      <c r="J43" t="s">
        <v>417</v>
      </c>
      <c r="K43">
        <v>5</v>
      </c>
      <c r="L43" t="s">
        <v>417</v>
      </c>
      <c r="M43" s="3">
        <v>5</v>
      </c>
      <c r="N43" t="s">
        <v>417</v>
      </c>
      <c r="O43">
        <v>5</v>
      </c>
      <c r="P43" t="s">
        <v>417</v>
      </c>
      <c r="Q43" s="3">
        <v>5</v>
      </c>
      <c r="R43" t="s">
        <v>417</v>
      </c>
      <c r="S43" s="3">
        <v>5</v>
      </c>
    </row>
    <row r="44" spans="2:19" x14ac:dyDescent="0.25">
      <c r="B44" s="2" t="s">
        <v>418</v>
      </c>
      <c r="C44">
        <v>1</v>
      </c>
      <c r="D44" s="2" t="s">
        <v>418</v>
      </c>
      <c r="E44" s="3">
        <v>1</v>
      </c>
      <c r="F44" t="s">
        <v>418</v>
      </c>
      <c r="G44">
        <v>1</v>
      </c>
      <c r="H44" s="2" t="s">
        <v>418</v>
      </c>
      <c r="I44" s="3">
        <v>5</v>
      </c>
      <c r="J44" t="s">
        <v>418</v>
      </c>
      <c r="K44">
        <v>5</v>
      </c>
      <c r="L44" t="s">
        <v>418</v>
      </c>
      <c r="M44" s="3">
        <v>5</v>
      </c>
      <c r="N44" t="s">
        <v>418</v>
      </c>
      <c r="O44">
        <v>5</v>
      </c>
      <c r="P44" t="s">
        <v>418</v>
      </c>
      <c r="Q44" s="3">
        <v>5</v>
      </c>
      <c r="R44" t="s">
        <v>418</v>
      </c>
      <c r="S44" s="3">
        <v>5</v>
      </c>
    </row>
    <row r="45" spans="2:19" x14ac:dyDescent="0.25">
      <c r="B45" s="2" t="s">
        <v>393</v>
      </c>
      <c r="C45">
        <v>1</v>
      </c>
      <c r="D45" s="2" t="s">
        <v>393</v>
      </c>
      <c r="E45" s="3">
        <v>1</v>
      </c>
      <c r="F45" s="2" t="s">
        <v>393</v>
      </c>
      <c r="G45">
        <v>1</v>
      </c>
      <c r="H45" s="2" t="s">
        <v>393</v>
      </c>
      <c r="I45" s="3">
        <v>5</v>
      </c>
      <c r="J45" s="2" t="s">
        <v>393</v>
      </c>
      <c r="K45">
        <v>5</v>
      </c>
      <c r="L45" s="2" t="s">
        <v>393</v>
      </c>
      <c r="M45" s="3">
        <v>5</v>
      </c>
      <c r="N45" s="2" t="s">
        <v>393</v>
      </c>
      <c r="O45">
        <v>5</v>
      </c>
      <c r="P45" s="2" t="s">
        <v>393</v>
      </c>
      <c r="Q45" s="3">
        <v>5</v>
      </c>
      <c r="R45" s="2" t="s">
        <v>393</v>
      </c>
      <c r="S45" s="3">
        <v>5</v>
      </c>
    </row>
    <row r="46" spans="2:19" x14ac:dyDescent="0.25">
      <c r="B46" s="2" t="s">
        <v>426</v>
      </c>
      <c r="C46">
        <v>30</v>
      </c>
      <c r="D46" t="s">
        <v>426</v>
      </c>
      <c r="E46" s="3">
        <v>30</v>
      </c>
      <c r="F46" t="s">
        <v>426</v>
      </c>
      <c r="G46">
        <v>30</v>
      </c>
      <c r="H46" t="s">
        <v>426</v>
      </c>
      <c r="I46" s="3">
        <v>300</v>
      </c>
      <c r="J46" t="s">
        <v>426</v>
      </c>
      <c r="K46">
        <v>300</v>
      </c>
      <c r="L46" t="s">
        <v>426</v>
      </c>
      <c r="M46" s="3">
        <v>300</v>
      </c>
      <c r="N46" t="s">
        <v>426</v>
      </c>
      <c r="O46">
        <v>300</v>
      </c>
      <c r="P46" t="s">
        <v>426</v>
      </c>
      <c r="Q46" s="3">
        <v>300</v>
      </c>
      <c r="R46" t="s">
        <v>426</v>
      </c>
      <c r="S46" s="3">
        <v>300</v>
      </c>
    </row>
    <row r="47" spans="2:19" x14ac:dyDescent="0.25">
      <c r="B47" s="2" t="s">
        <v>419</v>
      </c>
      <c r="C47">
        <v>30</v>
      </c>
      <c r="D47" s="2" t="s">
        <v>419</v>
      </c>
      <c r="E47" s="3">
        <v>30</v>
      </c>
      <c r="F47" t="s">
        <v>419</v>
      </c>
      <c r="G47">
        <v>30</v>
      </c>
      <c r="H47" s="2" t="s">
        <v>419</v>
      </c>
      <c r="I47" s="3">
        <v>300</v>
      </c>
      <c r="J47" t="s">
        <v>419</v>
      </c>
      <c r="K47">
        <v>300</v>
      </c>
      <c r="L47" t="s">
        <v>419</v>
      </c>
      <c r="M47" s="3">
        <v>300</v>
      </c>
      <c r="N47" t="s">
        <v>419</v>
      </c>
      <c r="O47">
        <v>300</v>
      </c>
      <c r="P47" t="s">
        <v>419</v>
      </c>
      <c r="Q47" s="3">
        <v>300</v>
      </c>
      <c r="R47" t="s">
        <v>419</v>
      </c>
      <c r="S47" s="3">
        <v>300</v>
      </c>
    </row>
    <row r="48" spans="2:19" x14ac:dyDescent="0.25">
      <c r="B48" s="2" t="s">
        <v>420</v>
      </c>
      <c r="C48">
        <v>30</v>
      </c>
      <c r="D48" s="2" t="s">
        <v>420</v>
      </c>
      <c r="E48" s="3">
        <v>30</v>
      </c>
      <c r="F48" t="s">
        <v>420</v>
      </c>
      <c r="G48">
        <v>30</v>
      </c>
      <c r="H48" s="2" t="s">
        <v>420</v>
      </c>
      <c r="I48" s="3">
        <v>300</v>
      </c>
      <c r="J48" t="s">
        <v>420</v>
      </c>
      <c r="K48">
        <v>300</v>
      </c>
      <c r="L48" t="s">
        <v>420</v>
      </c>
      <c r="M48" s="3">
        <v>300</v>
      </c>
      <c r="N48" t="s">
        <v>420</v>
      </c>
      <c r="O48">
        <v>300</v>
      </c>
      <c r="P48" t="s">
        <v>420</v>
      </c>
      <c r="Q48" s="3">
        <v>300</v>
      </c>
      <c r="R48" t="s">
        <v>420</v>
      </c>
      <c r="S48" s="3">
        <v>300</v>
      </c>
    </row>
    <row r="49" spans="2:19" s="29" customFormat="1" x14ac:dyDescent="0.25">
      <c r="B49" s="31" t="s">
        <v>394</v>
      </c>
      <c r="C49" s="29">
        <v>30</v>
      </c>
      <c r="D49" s="31" t="s">
        <v>394</v>
      </c>
      <c r="E49" s="32">
        <v>30</v>
      </c>
      <c r="F49" s="29" t="s">
        <v>394</v>
      </c>
      <c r="G49" s="29">
        <v>30</v>
      </c>
      <c r="H49" s="31" t="s">
        <v>394</v>
      </c>
      <c r="I49" s="32">
        <v>300</v>
      </c>
      <c r="J49" s="29" t="s">
        <v>394</v>
      </c>
      <c r="K49" s="29">
        <v>300</v>
      </c>
      <c r="L49" t="s">
        <v>394</v>
      </c>
      <c r="M49" s="32">
        <v>300</v>
      </c>
      <c r="N49" t="s">
        <v>394</v>
      </c>
      <c r="O49" s="29">
        <v>300</v>
      </c>
      <c r="P49" t="s">
        <v>394</v>
      </c>
      <c r="Q49" s="32">
        <v>300</v>
      </c>
      <c r="R49" t="s">
        <v>394</v>
      </c>
      <c r="S49" s="32">
        <v>300</v>
      </c>
    </row>
    <row r="50" spans="2:19" x14ac:dyDescent="0.25">
      <c r="B50" s="31" t="s">
        <v>613</v>
      </c>
      <c r="C50">
        <v>3</v>
      </c>
      <c r="D50" s="2" t="s">
        <v>613</v>
      </c>
      <c r="E50" s="3">
        <v>3</v>
      </c>
      <c r="F50" t="s">
        <v>613</v>
      </c>
      <c r="G50">
        <v>3</v>
      </c>
      <c r="H50" s="2" t="s">
        <v>613</v>
      </c>
      <c r="I50" s="3">
        <v>3</v>
      </c>
      <c r="J50" t="s">
        <v>613</v>
      </c>
      <c r="K50">
        <v>3</v>
      </c>
      <c r="L50" t="s">
        <v>613</v>
      </c>
      <c r="M50" s="3">
        <v>3</v>
      </c>
      <c r="N50" t="s">
        <v>613</v>
      </c>
      <c r="O50">
        <v>3</v>
      </c>
      <c r="P50" t="s">
        <v>613</v>
      </c>
      <c r="Q50" s="3">
        <v>3</v>
      </c>
      <c r="R50" t="s">
        <v>613</v>
      </c>
      <c r="S50" s="3">
        <v>3</v>
      </c>
    </row>
    <row r="51" spans="2:19" x14ac:dyDescent="0.25">
      <c r="B51" s="2" t="s">
        <v>421</v>
      </c>
      <c r="C51">
        <v>30</v>
      </c>
      <c r="D51" s="2" t="s">
        <v>421</v>
      </c>
      <c r="E51" s="3">
        <v>20</v>
      </c>
      <c r="F51" t="s">
        <v>421</v>
      </c>
      <c r="G51">
        <v>20</v>
      </c>
      <c r="H51" s="2" t="s">
        <v>421</v>
      </c>
      <c r="I51" s="3">
        <v>300</v>
      </c>
      <c r="J51" t="s">
        <v>421</v>
      </c>
      <c r="K51">
        <v>300</v>
      </c>
      <c r="L51" t="s">
        <v>421</v>
      </c>
      <c r="M51" s="3">
        <v>300</v>
      </c>
      <c r="N51" t="s">
        <v>421</v>
      </c>
      <c r="O51">
        <v>300</v>
      </c>
      <c r="P51" t="s">
        <v>421</v>
      </c>
      <c r="Q51" s="3">
        <v>300</v>
      </c>
      <c r="R51" t="s">
        <v>421</v>
      </c>
      <c r="S51" s="3">
        <v>300</v>
      </c>
    </row>
    <row r="52" spans="2:19" x14ac:dyDescent="0.25">
      <c r="B52" s="2" t="s">
        <v>30</v>
      </c>
      <c r="C52">
        <v>200</v>
      </c>
      <c r="D52" s="2" t="s">
        <v>30</v>
      </c>
      <c r="E52" s="3">
        <v>200</v>
      </c>
      <c r="F52" t="s">
        <v>30</v>
      </c>
      <c r="G52">
        <v>200</v>
      </c>
      <c r="H52" s="2" t="s">
        <v>30</v>
      </c>
      <c r="I52" s="3">
        <v>200</v>
      </c>
      <c r="J52" t="s">
        <v>30</v>
      </c>
      <c r="K52">
        <v>200</v>
      </c>
      <c r="L52" t="s">
        <v>30</v>
      </c>
      <c r="M52" s="3">
        <v>200</v>
      </c>
      <c r="N52" t="s">
        <v>30</v>
      </c>
      <c r="O52">
        <v>200</v>
      </c>
      <c r="P52" t="s">
        <v>30</v>
      </c>
      <c r="Q52" s="3">
        <v>200</v>
      </c>
      <c r="R52" t="s">
        <v>30</v>
      </c>
      <c r="S52" s="3">
        <v>200</v>
      </c>
    </row>
    <row r="53" spans="2:19" x14ac:dyDescent="0.25">
      <c r="B53" s="2" t="s">
        <v>31</v>
      </c>
      <c r="C53">
        <v>3</v>
      </c>
      <c r="D53" s="2" t="s">
        <v>31</v>
      </c>
      <c r="E53" s="3">
        <v>3</v>
      </c>
      <c r="F53" t="s">
        <v>31</v>
      </c>
      <c r="G53">
        <v>3</v>
      </c>
      <c r="H53" s="2" t="s">
        <v>31</v>
      </c>
      <c r="I53" s="3">
        <v>10</v>
      </c>
      <c r="J53" t="s">
        <v>31</v>
      </c>
      <c r="K53">
        <v>10</v>
      </c>
      <c r="L53" t="s">
        <v>31</v>
      </c>
      <c r="M53" s="3">
        <v>10</v>
      </c>
      <c r="N53" t="s">
        <v>31</v>
      </c>
      <c r="O53">
        <v>10</v>
      </c>
      <c r="P53" t="s">
        <v>31</v>
      </c>
      <c r="Q53" s="3">
        <v>10</v>
      </c>
      <c r="R53" t="s">
        <v>31</v>
      </c>
      <c r="S53" s="3">
        <v>10</v>
      </c>
    </row>
    <row r="54" spans="2:19" x14ac:dyDescent="0.25">
      <c r="B54" s="2" t="s">
        <v>32</v>
      </c>
      <c r="C54">
        <v>3</v>
      </c>
      <c r="D54" s="2" t="s">
        <v>32</v>
      </c>
      <c r="E54" s="3">
        <v>3</v>
      </c>
      <c r="F54" t="s">
        <v>32</v>
      </c>
      <c r="G54">
        <v>3</v>
      </c>
      <c r="H54" s="2" t="s">
        <v>32</v>
      </c>
      <c r="I54" s="3">
        <v>10</v>
      </c>
      <c r="J54" t="s">
        <v>32</v>
      </c>
      <c r="K54">
        <v>10</v>
      </c>
      <c r="L54" t="s">
        <v>32</v>
      </c>
      <c r="M54" s="3">
        <v>10</v>
      </c>
      <c r="N54" t="s">
        <v>32</v>
      </c>
      <c r="O54">
        <v>10</v>
      </c>
      <c r="P54" t="s">
        <v>32</v>
      </c>
      <c r="Q54" s="3">
        <v>10</v>
      </c>
      <c r="R54" t="s">
        <v>32</v>
      </c>
      <c r="S54" s="3">
        <v>10</v>
      </c>
    </row>
    <row r="55" spans="2:19" x14ac:dyDescent="0.25">
      <c r="B55" s="2" t="s">
        <v>422</v>
      </c>
      <c r="C55">
        <v>3</v>
      </c>
      <c r="D55" s="2" t="s">
        <v>422</v>
      </c>
      <c r="E55" s="3">
        <v>3</v>
      </c>
      <c r="F55" t="s">
        <v>422</v>
      </c>
      <c r="G55">
        <v>3</v>
      </c>
      <c r="H55" s="2" t="s">
        <v>422</v>
      </c>
      <c r="I55" s="3">
        <v>10</v>
      </c>
      <c r="J55" t="s">
        <v>422</v>
      </c>
      <c r="K55">
        <v>10</v>
      </c>
      <c r="L55" t="s">
        <v>422</v>
      </c>
      <c r="M55" s="3">
        <v>10</v>
      </c>
      <c r="N55" t="s">
        <v>422</v>
      </c>
      <c r="O55">
        <v>10</v>
      </c>
      <c r="P55" t="s">
        <v>422</v>
      </c>
      <c r="Q55" s="3">
        <v>10</v>
      </c>
      <c r="R55" t="s">
        <v>422</v>
      </c>
      <c r="S55" s="3">
        <v>10</v>
      </c>
    </row>
    <row r="56" spans="2:19" x14ac:dyDescent="0.25">
      <c r="B56" s="2" t="s">
        <v>395</v>
      </c>
      <c r="C56">
        <v>1</v>
      </c>
      <c r="D56" s="2" t="s">
        <v>395</v>
      </c>
      <c r="E56" s="3">
        <v>1</v>
      </c>
      <c r="F56" t="s">
        <v>395</v>
      </c>
      <c r="G56">
        <v>1</v>
      </c>
      <c r="H56" s="2" t="s">
        <v>395</v>
      </c>
      <c r="I56" s="3">
        <v>5</v>
      </c>
      <c r="J56" t="s">
        <v>395</v>
      </c>
      <c r="K56">
        <v>5</v>
      </c>
      <c r="L56" t="s">
        <v>395</v>
      </c>
      <c r="M56" s="3">
        <v>5</v>
      </c>
      <c r="N56" t="s">
        <v>395</v>
      </c>
      <c r="O56">
        <v>5</v>
      </c>
      <c r="P56" t="s">
        <v>395</v>
      </c>
      <c r="Q56" s="3">
        <v>5</v>
      </c>
      <c r="R56" t="s">
        <v>395</v>
      </c>
      <c r="S56" s="3">
        <v>5</v>
      </c>
    </row>
    <row r="57" spans="2:19" x14ac:dyDescent="0.25">
      <c r="B57" s="2" t="s">
        <v>423</v>
      </c>
      <c r="C57">
        <v>1</v>
      </c>
      <c r="D57" s="2" t="s">
        <v>423</v>
      </c>
      <c r="E57" s="3">
        <v>1</v>
      </c>
      <c r="F57" t="s">
        <v>423</v>
      </c>
      <c r="G57">
        <v>1</v>
      </c>
      <c r="H57" s="2" t="s">
        <v>423</v>
      </c>
      <c r="I57" s="3">
        <v>5</v>
      </c>
      <c r="J57" t="s">
        <v>423</v>
      </c>
      <c r="K57">
        <v>5</v>
      </c>
      <c r="L57" t="s">
        <v>423</v>
      </c>
      <c r="M57" s="3">
        <v>5</v>
      </c>
      <c r="N57" t="s">
        <v>423</v>
      </c>
      <c r="O57">
        <v>5</v>
      </c>
      <c r="P57" t="s">
        <v>423</v>
      </c>
      <c r="Q57" s="3">
        <v>5</v>
      </c>
      <c r="R57" t="s">
        <v>423</v>
      </c>
      <c r="S57" s="3">
        <v>5</v>
      </c>
    </row>
    <row r="58" spans="2:19" x14ac:dyDescent="0.25">
      <c r="B58" s="2" t="s">
        <v>424</v>
      </c>
      <c r="C58">
        <v>1</v>
      </c>
      <c r="D58" s="2" t="s">
        <v>424</v>
      </c>
      <c r="E58" s="3">
        <v>1</v>
      </c>
      <c r="F58" t="s">
        <v>424</v>
      </c>
      <c r="G58">
        <v>1</v>
      </c>
      <c r="H58" s="2" t="s">
        <v>424</v>
      </c>
      <c r="I58" s="3">
        <v>5</v>
      </c>
      <c r="J58" t="s">
        <v>424</v>
      </c>
      <c r="K58">
        <v>5</v>
      </c>
      <c r="L58" t="s">
        <v>424</v>
      </c>
      <c r="M58" s="3">
        <v>5</v>
      </c>
      <c r="N58" t="s">
        <v>424</v>
      </c>
      <c r="O58">
        <v>5</v>
      </c>
      <c r="P58" t="s">
        <v>424</v>
      </c>
      <c r="Q58" s="3">
        <v>5</v>
      </c>
      <c r="R58" t="s">
        <v>424</v>
      </c>
      <c r="S58" s="3">
        <v>5</v>
      </c>
    </row>
    <row r="59" spans="2:19" x14ac:dyDescent="0.25">
      <c r="B59" s="2" t="s">
        <v>427</v>
      </c>
      <c r="C59">
        <v>30</v>
      </c>
      <c r="D59" t="s">
        <v>427</v>
      </c>
      <c r="E59" s="3">
        <v>30</v>
      </c>
      <c r="F59" t="s">
        <v>427</v>
      </c>
      <c r="G59">
        <v>30</v>
      </c>
      <c r="H59" t="s">
        <v>427</v>
      </c>
      <c r="I59" s="3">
        <v>300</v>
      </c>
      <c r="J59" t="s">
        <v>427</v>
      </c>
      <c r="K59">
        <v>300</v>
      </c>
      <c r="L59" t="s">
        <v>427</v>
      </c>
      <c r="M59" s="3">
        <v>300</v>
      </c>
      <c r="N59" t="s">
        <v>427</v>
      </c>
      <c r="O59">
        <v>300</v>
      </c>
      <c r="P59" t="s">
        <v>427</v>
      </c>
      <c r="Q59" s="3">
        <v>300</v>
      </c>
      <c r="R59" t="s">
        <v>427</v>
      </c>
      <c r="S59" s="3">
        <v>300</v>
      </c>
    </row>
    <row r="60" spans="2:19" ht="13.8" thickBot="1" x14ac:dyDescent="0.3">
      <c r="B60" s="122" t="s">
        <v>33</v>
      </c>
      <c r="C60" s="121">
        <v>1</v>
      </c>
      <c r="D60" s="122" t="s">
        <v>33</v>
      </c>
      <c r="E60" s="123">
        <v>2</v>
      </c>
      <c r="F60" s="121" t="s">
        <v>33</v>
      </c>
      <c r="G60" s="121">
        <v>2</v>
      </c>
      <c r="H60" s="122" t="s">
        <v>33</v>
      </c>
      <c r="I60" s="123">
        <v>10</v>
      </c>
      <c r="J60" s="121" t="s">
        <v>33</v>
      </c>
      <c r="K60" s="121">
        <v>10</v>
      </c>
      <c r="L60" s="121" t="s">
        <v>33</v>
      </c>
      <c r="M60" s="123">
        <v>300</v>
      </c>
      <c r="N60" s="121" t="s">
        <v>33</v>
      </c>
      <c r="O60" s="121">
        <v>300</v>
      </c>
      <c r="P60" s="121" t="s">
        <v>33</v>
      </c>
      <c r="Q60" s="123">
        <v>300</v>
      </c>
      <c r="R60" s="121" t="s">
        <v>33</v>
      </c>
      <c r="S60" s="123">
        <v>300</v>
      </c>
    </row>
    <row r="61" spans="2:19" ht="13.8" thickBot="1" x14ac:dyDescent="0.3">
      <c r="B61" s="193" t="s">
        <v>140</v>
      </c>
      <c r="C61" s="194"/>
      <c r="D61" s="193" t="s">
        <v>141</v>
      </c>
      <c r="E61" s="195"/>
      <c r="F61" s="194" t="s">
        <v>142</v>
      </c>
      <c r="G61" s="194"/>
      <c r="H61" s="193" t="s">
        <v>143</v>
      </c>
      <c r="I61" s="195"/>
      <c r="J61" s="194" t="s">
        <v>144</v>
      </c>
      <c r="K61" s="195"/>
      <c r="L61" s="194" t="s">
        <v>145</v>
      </c>
      <c r="M61" s="194"/>
      <c r="N61" s="193" t="s">
        <v>146</v>
      </c>
      <c r="O61" s="195"/>
      <c r="P61" s="194" t="s">
        <v>147</v>
      </c>
      <c r="Q61" s="195"/>
      <c r="R61" s="194" t="s">
        <v>148</v>
      </c>
      <c r="S61" s="195"/>
    </row>
    <row r="63" spans="2:19" x14ac:dyDescent="0.25">
      <c r="B63" s="29" t="s">
        <v>600</v>
      </c>
    </row>
    <row r="64" spans="2:19" x14ac:dyDescent="0.25">
      <c r="B64" t="s">
        <v>138</v>
      </c>
    </row>
    <row r="67" spans="2:7" ht="29.25" customHeight="1" x14ac:dyDescent="0.25">
      <c r="B67" s="693" t="s">
        <v>239</v>
      </c>
      <c r="C67" s="693"/>
      <c r="D67" s="693"/>
      <c r="E67" s="693"/>
      <c r="F67" s="693"/>
      <c r="G67" s="693"/>
    </row>
    <row r="69" spans="2:7" ht="15.6" thickBot="1" x14ac:dyDescent="0.3">
      <c r="B69" s="29" t="s">
        <v>601</v>
      </c>
      <c r="C69" s="24"/>
    </row>
    <row r="70" spans="2:7" ht="93" thickBot="1" x14ac:dyDescent="0.3">
      <c r="B70" s="128" t="s">
        <v>21</v>
      </c>
      <c r="C70" s="126" t="s">
        <v>139</v>
      </c>
      <c r="D70" s="129" t="s">
        <v>161</v>
      </c>
      <c r="E70" s="126" t="s">
        <v>162</v>
      </c>
      <c r="F70" s="126" t="s">
        <v>163</v>
      </c>
      <c r="G70" s="127" t="s">
        <v>164</v>
      </c>
    </row>
    <row r="71" spans="2:7" ht="15" x14ac:dyDescent="0.25">
      <c r="B71" s="187" t="s">
        <v>399</v>
      </c>
      <c r="C71" s="201">
        <f t="shared" ref="C71:C93" si="0">VLOOKUP(B71,Energy,2,FALSE)</f>
        <v>3</v>
      </c>
      <c r="D71" s="199">
        <f t="shared" ref="D71:D93" si="1">VLOOKUP(B71,fuelInfo,4,FALSE)</f>
        <v>44.3</v>
      </c>
      <c r="E71" s="199">
        <f>C71*D71</f>
        <v>132.89999999999998</v>
      </c>
      <c r="F71" s="199">
        <f t="shared" ref="F71:F93" si="2">IF(VLOOKUP(B71,Density_Config,2,FALSE)=0,"",VLOOKUP(B71,Density_Config,2,FALSE))</f>
        <v>0.70445880999999999</v>
      </c>
      <c r="G71" s="200">
        <f>IFERROR((E71/1000000000)*F71,"")</f>
        <v>9.362257584899998E-8</v>
      </c>
    </row>
    <row r="72" spans="2:7" ht="15" x14ac:dyDescent="0.25">
      <c r="B72" s="188" t="s">
        <v>32</v>
      </c>
      <c r="C72" s="196">
        <f t="shared" si="0"/>
        <v>3</v>
      </c>
      <c r="D72" s="184">
        <f t="shared" si="1"/>
        <v>27</v>
      </c>
      <c r="E72" s="184">
        <f t="shared" ref="E72:E93" si="3">C72*D72</f>
        <v>81</v>
      </c>
      <c r="F72" s="184" t="str">
        <f t="shared" si="2"/>
        <v/>
      </c>
      <c r="G72" s="185" t="str">
        <f t="shared" ref="G72:G93" si="4">IFERROR((E72/1000000000)*F72,"")</f>
        <v/>
      </c>
    </row>
    <row r="73" spans="2:7" ht="15" x14ac:dyDescent="0.25">
      <c r="B73" s="188" t="s">
        <v>31</v>
      </c>
      <c r="C73" s="196">
        <f t="shared" si="0"/>
        <v>3</v>
      </c>
      <c r="D73" s="184">
        <f t="shared" si="1"/>
        <v>27</v>
      </c>
      <c r="E73" s="184">
        <f t="shared" si="3"/>
        <v>81</v>
      </c>
      <c r="F73" s="184" t="str">
        <f t="shared" si="2"/>
        <v/>
      </c>
      <c r="G73" s="185" t="str">
        <f t="shared" si="4"/>
        <v/>
      </c>
    </row>
    <row r="74" spans="2:7" ht="15" x14ac:dyDescent="0.25">
      <c r="B74" s="188" t="s">
        <v>397</v>
      </c>
      <c r="C74" s="196">
        <f t="shared" si="0"/>
        <v>3</v>
      </c>
      <c r="D74" s="184">
        <f t="shared" si="1"/>
        <v>42.3</v>
      </c>
      <c r="E74" s="184">
        <f t="shared" si="3"/>
        <v>126.89999999999999</v>
      </c>
      <c r="F74" s="184">
        <f t="shared" si="2"/>
        <v>0.87345679012345701</v>
      </c>
      <c r="G74" s="185">
        <f t="shared" si="4"/>
        <v>1.1084166666666668E-7</v>
      </c>
    </row>
    <row r="75" spans="2:7" ht="15" x14ac:dyDescent="0.25">
      <c r="B75" s="188" t="s">
        <v>23</v>
      </c>
      <c r="C75" s="196">
        <f t="shared" si="0"/>
        <v>1</v>
      </c>
      <c r="D75" s="184">
        <f t="shared" si="1"/>
        <v>46.4</v>
      </c>
      <c r="E75" s="184">
        <f t="shared" si="3"/>
        <v>46.4</v>
      </c>
      <c r="F75" s="184" t="str">
        <f t="shared" si="2"/>
        <v/>
      </c>
      <c r="G75" s="185" t="str">
        <f t="shared" si="4"/>
        <v/>
      </c>
    </row>
    <row r="76" spans="2:7" ht="15" x14ac:dyDescent="0.25">
      <c r="B76" s="188" t="s">
        <v>384</v>
      </c>
      <c r="C76" s="196">
        <f t="shared" si="0"/>
        <v>3</v>
      </c>
      <c r="D76" s="184">
        <f t="shared" si="1"/>
        <v>43</v>
      </c>
      <c r="E76" s="184">
        <f t="shared" si="3"/>
        <v>129</v>
      </c>
      <c r="F76" s="184">
        <f t="shared" si="2"/>
        <v>0.91328052400000004</v>
      </c>
      <c r="G76" s="185">
        <f t="shared" si="4"/>
        <v>1.17813187596E-7</v>
      </c>
    </row>
    <row r="77" spans="2:7" ht="15" x14ac:dyDescent="0.25">
      <c r="B77" s="188" t="s">
        <v>425</v>
      </c>
      <c r="C77" s="196">
        <f t="shared" si="0"/>
        <v>3</v>
      </c>
      <c r="D77" s="184">
        <f t="shared" si="1"/>
        <v>44.3</v>
      </c>
      <c r="E77" s="184">
        <f t="shared" si="3"/>
        <v>132.89999999999998</v>
      </c>
      <c r="F77" s="184">
        <f t="shared" si="2"/>
        <v>0.70445880999999999</v>
      </c>
      <c r="G77" s="185">
        <f t="shared" si="4"/>
        <v>9.362257584899998E-8</v>
      </c>
    </row>
    <row r="78" spans="2:7" ht="15" x14ac:dyDescent="0.25">
      <c r="B78" s="188" t="s">
        <v>400</v>
      </c>
      <c r="C78" s="196">
        <f t="shared" si="0"/>
        <v>3</v>
      </c>
      <c r="D78" s="184">
        <f t="shared" si="1"/>
        <v>44.1</v>
      </c>
      <c r="E78" s="184">
        <f t="shared" si="3"/>
        <v>132.30000000000001</v>
      </c>
      <c r="F78" s="184">
        <f t="shared" si="2"/>
        <v>0.81556195965417866</v>
      </c>
      <c r="G78" s="185">
        <f t="shared" si="4"/>
        <v>1.0789884726224785E-7</v>
      </c>
    </row>
    <row r="79" spans="2:7" ht="15" x14ac:dyDescent="0.25">
      <c r="B79" s="188" t="s">
        <v>386</v>
      </c>
      <c r="C79" s="196">
        <f t="shared" si="0"/>
        <v>1</v>
      </c>
      <c r="D79" s="184">
        <f t="shared" si="1"/>
        <v>47.3</v>
      </c>
      <c r="E79" s="184">
        <f t="shared" si="3"/>
        <v>47.3</v>
      </c>
      <c r="F79" s="184">
        <f t="shared" si="2"/>
        <v>0.49354726194628523</v>
      </c>
      <c r="G79" s="185">
        <f t="shared" si="4"/>
        <v>2.3344785490059292E-8</v>
      </c>
    </row>
    <row r="80" spans="2:7" ht="15" x14ac:dyDescent="0.25">
      <c r="B80" s="188" t="s">
        <v>26</v>
      </c>
      <c r="C80" s="196">
        <f t="shared" si="0"/>
        <v>3</v>
      </c>
      <c r="D80" s="184">
        <f t="shared" si="1"/>
        <v>40.200000000000003</v>
      </c>
      <c r="E80" s="184">
        <f t="shared" si="3"/>
        <v>120.60000000000001</v>
      </c>
      <c r="F80" s="184">
        <f t="shared" si="2"/>
        <v>0.89818497799999997</v>
      </c>
      <c r="G80" s="185">
        <f t="shared" si="4"/>
        <v>1.083211083468E-7</v>
      </c>
    </row>
    <row r="81" spans="2:7" ht="15" x14ac:dyDescent="0.25">
      <c r="B81" s="188" t="s">
        <v>398</v>
      </c>
      <c r="C81" s="196">
        <f t="shared" si="0"/>
        <v>3</v>
      </c>
      <c r="D81" s="184">
        <f t="shared" si="1"/>
        <v>44.3</v>
      </c>
      <c r="E81" s="184">
        <f t="shared" si="3"/>
        <v>132.89999999999998</v>
      </c>
      <c r="F81" s="184">
        <f t="shared" si="2"/>
        <v>0.74534257599999998</v>
      </c>
      <c r="G81" s="185">
        <f t="shared" si="4"/>
        <v>9.9056028350399987E-8</v>
      </c>
    </row>
    <row r="82" spans="2:7" ht="15" x14ac:dyDescent="0.25">
      <c r="B82" s="188" t="s">
        <v>24</v>
      </c>
      <c r="C82" s="196">
        <f t="shared" si="0"/>
        <v>3</v>
      </c>
      <c r="D82" s="184">
        <f t="shared" si="1"/>
        <v>44.5</v>
      </c>
      <c r="E82" s="184">
        <f t="shared" si="3"/>
        <v>133.5</v>
      </c>
      <c r="F82" s="184">
        <f t="shared" si="2"/>
        <v>0.72836008699999999</v>
      </c>
      <c r="G82" s="185">
        <f t="shared" si="4"/>
        <v>9.7236071614500001E-8</v>
      </c>
    </row>
    <row r="83" spans="2:7" ht="15" x14ac:dyDescent="0.25">
      <c r="B83" s="188" t="s">
        <v>406</v>
      </c>
      <c r="C83" s="196">
        <f t="shared" si="0"/>
        <v>3</v>
      </c>
      <c r="D83" s="184">
        <f t="shared" si="1"/>
        <v>44.2</v>
      </c>
      <c r="E83" s="184">
        <f t="shared" si="3"/>
        <v>132.60000000000002</v>
      </c>
      <c r="F83" s="184" t="str">
        <f t="shared" si="2"/>
        <v/>
      </c>
      <c r="G83" s="185" t="str">
        <f t="shared" si="4"/>
        <v/>
      </c>
    </row>
    <row r="84" spans="2:7" ht="15" x14ac:dyDescent="0.25">
      <c r="B84" s="188" t="s">
        <v>22</v>
      </c>
      <c r="C84" s="196">
        <f t="shared" ref="C84" si="5">VLOOKUP(B84,Energy,2,FALSE)</f>
        <v>3</v>
      </c>
      <c r="D84" s="184">
        <f t="shared" ref="D84" si="6">VLOOKUP(B84,fuelInfo,4,FALSE)</f>
        <v>27.5</v>
      </c>
      <c r="E84" s="184">
        <f t="shared" ref="E84" si="7">C84*D84</f>
        <v>82.5</v>
      </c>
      <c r="F84" s="184" t="str">
        <f t="shared" ref="F84" si="8">IF(VLOOKUP(B84,Density_Config,2,FALSE)=0,"",VLOOKUP(B84,Density_Config,2,FALSE))</f>
        <v/>
      </c>
      <c r="G84" s="185" t="str">
        <f t="shared" ref="G84" si="9">IFERROR((E84/1000000000)*F84,"")</f>
        <v/>
      </c>
    </row>
    <row r="85" spans="2:7" ht="15" x14ac:dyDescent="0.25">
      <c r="B85" s="188" t="s">
        <v>401</v>
      </c>
      <c r="C85" s="196">
        <f t="shared" si="0"/>
        <v>3</v>
      </c>
      <c r="D85" s="184">
        <f t="shared" si="1"/>
        <v>43.8</v>
      </c>
      <c r="E85" s="184">
        <f t="shared" si="3"/>
        <v>131.39999999999998</v>
      </c>
      <c r="F85" s="184">
        <f t="shared" si="2"/>
        <v>0.84832134292565942</v>
      </c>
      <c r="G85" s="185">
        <f t="shared" si="4"/>
        <v>1.1146942446043162E-7</v>
      </c>
    </row>
    <row r="86" spans="2:7" ht="15" x14ac:dyDescent="0.25">
      <c r="B86" s="188" t="s">
        <v>422</v>
      </c>
      <c r="C86" s="196">
        <f t="shared" si="0"/>
        <v>3</v>
      </c>
      <c r="D86" s="184">
        <f t="shared" si="1"/>
        <v>27.4</v>
      </c>
      <c r="E86" s="184">
        <f t="shared" si="3"/>
        <v>82.199999999999989</v>
      </c>
      <c r="F86" s="184" t="str">
        <f t="shared" si="2"/>
        <v/>
      </c>
      <c r="G86" s="185" t="str">
        <f t="shared" si="4"/>
        <v/>
      </c>
    </row>
    <row r="87" spans="2:7" ht="15" x14ac:dyDescent="0.25">
      <c r="B87" s="188" t="s">
        <v>409</v>
      </c>
      <c r="C87" s="196">
        <f t="shared" si="0"/>
        <v>1</v>
      </c>
      <c r="D87" s="184">
        <f t="shared" si="1"/>
        <v>49.5</v>
      </c>
      <c r="E87" s="184">
        <f t="shared" si="3"/>
        <v>49.5</v>
      </c>
      <c r="F87" s="184" t="str">
        <f t="shared" si="2"/>
        <v/>
      </c>
      <c r="G87" s="185" t="str">
        <f t="shared" si="4"/>
        <v/>
      </c>
    </row>
    <row r="88" spans="2:7" ht="15" x14ac:dyDescent="0.25">
      <c r="B88" s="188" t="s">
        <v>408</v>
      </c>
      <c r="C88" s="196">
        <f t="shared" si="0"/>
        <v>3</v>
      </c>
      <c r="D88" s="184">
        <f t="shared" si="1"/>
        <v>43</v>
      </c>
      <c r="E88" s="184">
        <f t="shared" si="3"/>
        <v>129</v>
      </c>
      <c r="F88" s="184" t="str">
        <f t="shared" si="2"/>
        <v/>
      </c>
      <c r="G88" s="185" t="str">
        <f t="shared" si="4"/>
        <v/>
      </c>
    </row>
    <row r="89" spans="2:7" ht="15" x14ac:dyDescent="0.25">
      <c r="B89" s="188" t="s">
        <v>385</v>
      </c>
      <c r="C89" s="196">
        <f t="shared" si="0"/>
        <v>3</v>
      </c>
      <c r="D89" s="184">
        <f t="shared" si="1"/>
        <v>40.4</v>
      </c>
      <c r="E89" s="184">
        <f t="shared" si="3"/>
        <v>121.19999999999999</v>
      </c>
      <c r="F89" s="184">
        <f t="shared" si="2"/>
        <v>0.96108308600000003</v>
      </c>
      <c r="G89" s="185">
        <f t="shared" si="4"/>
        <v>1.1648327002320001E-7</v>
      </c>
    </row>
    <row r="90" spans="2:7" ht="15" x14ac:dyDescent="0.25">
      <c r="B90" s="188" t="s">
        <v>383</v>
      </c>
      <c r="C90" s="196">
        <f t="shared" si="0"/>
        <v>3</v>
      </c>
      <c r="D90" s="184">
        <f t="shared" si="1"/>
        <v>38.1</v>
      </c>
      <c r="E90" s="184">
        <f t="shared" si="3"/>
        <v>114.30000000000001</v>
      </c>
      <c r="F90" s="184" t="str">
        <f t="shared" si="2"/>
        <v/>
      </c>
      <c r="G90" s="185" t="str">
        <f t="shared" si="4"/>
        <v/>
      </c>
    </row>
    <row r="91" spans="2:7" ht="15" x14ac:dyDescent="0.25">
      <c r="B91" s="189" t="s">
        <v>613</v>
      </c>
      <c r="C91" s="196">
        <f t="shared" si="0"/>
        <v>3</v>
      </c>
      <c r="D91" s="184">
        <f t="shared" si="1"/>
        <v>11.8</v>
      </c>
      <c r="E91" s="184">
        <f t="shared" si="3"/>
        <v>35.400000000000006</v>
      </c>
      <c r="F91" s="184" t="str">
        <f t="shared" si="2"/>
        <v/>
      </c>
      <c r="G91" s="185" t="str">
        <f t="shared" si="4"/>
        <v/>
      </c>
    </row>
    <row r="92" spans="2:7" ht="15" x14ac:dyDescent="0.25">
      <c r="B92" s="188" t="s">
        <v>420</v>
      </c>
      <c r="C92" s="196">
        <f t="shared" si="0"/>
        <v>30</v>
      </c>
      <c r="D92" s="184">
        <f t="shared" si="1"/>
        <v>40.200000000000003</v>
      </c>
      <c r="E92" s="184">
        <f t="shared" si="3"/>
        <v>1206</v>
      </c>
      <c r="F92" s="184" t="str">
        <f t="shared" si="2"/>
        <v/>
      </c>
      <c r="G92" s="185" t="str">
        <f t="shared" si="4"/>
        <v/>
      </c>
    </row>
    <row r="93" spans="2:7" ht="15.6" thickBot="1" x14ac:dyDescent="0.3">
      <c r="B93" s="190" t="s">
        <v>411</v>
      </c>
      <c r="C93" s="197">
        <f t="shared" si="0"/>
        <v>3</v>
      </c>
      <c r="D93" s="198">
        <f t="shared" si="1"/>
        <v>40.200000000000003</v>
      </c>
      <c r="E93" s="198">
        <f t="shared" si="3"/>
        <v>120.60000000000001</v>
      </c>
      <c r="F93" s="198" t="str">
        <f t="shared" si="2"/>
        <v/>
      </c>
      <c r="G93" s="186" t="str">
        <f t="shared" si="4"/>
        <v/>
      </c>
    </row>
    <row r="94" spans="2:7" ht="14.4" thickBot="1" x14ac:dyDescent="0.3">
      <c r="B94" s="202" t="s">
        <v>179</v>
      </c>
      <c r="C94" s="20"/>
      <c r="D94" s="20"/>
      <c r="E94" s="20"/>
      <c r="F94" s="20"/>
      <c r="G94" s="14"/>
    </row>
    <row r="97" spans="2:7" ht="15.6" thickBot="1" x14ac:dyDescent="0.3">
      <c r="B97" s="29" t="s">
        <v>602</v>
      </c>
      <c r="C97" s="24"/>
    </row>
    <row r="98" spans="2:7" ht="93" thickBot="1" x14ac:dyDescent="0.3">
      <c r="B98" s="34" t="s">
        <v>21</v>
      </c>
      <c r="C98" s="40" t="s">
        <v>139</v>
      </c>
      <c r="D98" s="38" t="s">
        <v>161</v>
      </c>
      <c r="E98" s="42" t="s">
        <v>162</v>
      </c>
      <c r="F98" s="42" t="s">
        <v>163</v>
      </c>
      <c r="G98" s="39" t="s">
        <v>164</v>
      </c>
    </row>
    <row r="99" spans="2:7" ht="15" x14ac:dyDescent="0.25">
      <c r="B99" s="187" t="s">
        <v>399</v>
      </c>
      <c r="C99" s="201">
        <f t="shared" ref="C99:C121" si="10">VLOOKUP(B99,Manufacturing,2,FALSE)</f>
        <v>3</v>
      </c>
      <c r="D99" s="199">
        <f t="shared" ref="D99:D121" si="11">VLOOKUP(B99,fuelInfo,4,FALSE)</f>
        <v>44.3</v>
      </c>
      <c r="E99" s="199">
        <f>C99*D99</f>
        <v>132.89999999999998</v>
      </c>
      <c r="F99" s="199">
        <f t="shared" ref="F99:F121" si="12">IF(VLOOKUP(B99,Density_Config,2,FALSE)=0,"",VLOOKUP(B99,Density_Config,2,FALSE))</f>
        <v>0.70445880999999999</v>
      </c>
      <c r="G99" s="200">
        <f t="shared" ref="G99:G121" si="13">IFERROR((E99/1000000000)*F99,"")</f>
        <v>9.362257584899998E-8</v>
      </c>
    </row>
    <row r="100" spans="2:7" ht="15" x14ac:dyDescent="0.25">
      <c r="B100" s="188" t="s">
        <v>32</v>
      </c>
      <c r="C100" s="196">
        <f t="shared" si="10"/>
        <v>3</v>
      </c>
      <c r="D100" s="184">
        <f t="shared" si="11"/>
        <v>27</v>
      </c>
      <c r="E100" s="184">
        <f t="shared" ref="E100:E121" si="14">C100*D100</f>
        <v>81</v>
      </c>
      <c r="F100" s="184" t="str">
        <f t="shared" si="12"/>
        <v/>
      </c>
      <c r="G100" s="185" t="str">
        <f t="shared" si="13"/>
        <v/>
      </c>
    </row>
    <row r="101" spans="2:7" ht="15" x14ac:dyDescent="0.25">
      <c r="B101" s="188" t="s">
        <v>31</v>
      </c>
      <c r="C101" s="196">
        <f t="shared" si="10"/>
        <v>3</v>
      </c>
      <c r="D101" s="184">
        <f t="shared" si="11"/>
        <v>27</v>
      </c>
      <c r="E101" s="184">
        <f t="shared" si="14"/>
        <v>81</v>
      </c>
      <c r="F101" s="184" t="str">
        <f t="shared" si="12"/>
        <v/>
      </c>
      <c r="G101" s="185" t="str">
        <f t="shared" si="13"/>
        <v/>
      </c>
    </row>
    <row r="102" spans="2:7" ht="15" x14ac:dyDescent="0.25">
      <c r="B102" s="188" t="s">
        <v>397</v>
      </c>
      <c r="C102" s="196">
        <f t="shared" si="10"/>
        <v>3</v>
      </c>
      <c r="D102" s="184">
        <f t="shared" si="11"/>
        <v>42.3</v>
      </c>
      <c r="E102" s="184">
        <f t="shared" si="14"/>
        <v>126.89999999999999</v>
      </c>
      <c r="F102" s="184">
        <f t="shared" si="12"/>
        <v>0.87345679012345701</v>
      </c>
      <c r="G102" s="185">
        <f t="shared" si="13"/>
        <v>1.1084166666666668E-7</v>
      </c>
    </row>
    <row r="103" spans="2:7" ht="15" x14ac:dyDescent="0.25">
      <c r="B103" s="188" t="s">
        <v>23</v>
      </c>
      <c r="C103" s="196">
        <f t="shared" si="10"/>
        <v>1</v>
      </c>
      <c r="D103" s="184">
        <f t="shared" si="11"/>
        <v>46.4</v>
      </c>
      <c r="E103" s="184">
        <f t="shared" si="14"/>
        <v>46.4</v>
      </c>
      <c r="F103" s="184" t="str">
        <f t="shared" si="12"/>
        <v/>
      </c>
      <c r="G103" s="185" t="str">
        <f t="shared" si="13"/>
        <v/>
      </c>
    </row>
    <row r="104" spans="2:7" ht="15" x14ac:dyDescent="0.25">
      <c r="B104" s="188" t="s">
        <v>384</v>
      </c>
      <c r="C104" s="196">
        <f t="shared" si="10"/>
        <v>3</v>
      </c>
      <c r="D104" s="184">
        <f t="shared" si="11"/>
        <v>43</v>
      </c>
      <c r="E104" s="184">
        <f t="shared" si="14"/>
        <v>129</v>
      </c>
      <c r="F104" s="184">
        <f t="shared" si="12"/>
        <v>0.91328052400000004</v>
      </c>
      <c r="G104" s="185">
        <f t="shared" si="13"/>
        <v>1.17813187596E-7</v>
      </c>
    </row>
    <row r="105" spans="2:7" ht="15" x14ac:dyDescent="0.25">
      <c r="B105" s="188" t="s">
        <v>425</v>
      </c>
      <c r="C105" s="196">
        <f t="shared" si="10"/>
        <v>3</v>
      </c>
      <c r="D105" s="184">
        <f t="shared" si="11"/>
        <v>44.3</v>
      </c>
      <c r="E105" s="184">
        <f t="shared" si="14"/>
        <v>132.89999999999998</v>
      </c>
      <c r="F105" s="184">
        <f t="shared" si="12"/>
        <v>0.70445880999999999</v>
      </c>
      <c r="G105" s="185">
        <f t="shared" si="13"/>
        <v>9.362257584899998E-8</v>
      </c>
    </row>
    <row r="106" spans="2:7" ht="15" x14ac:dyDescent="0.25">
      <c r="B106" s="188" t="s">
        <v>400</v>
      </c>
      <c r="C106" s="196">
        <f t="shared" si="10"/>
        <v>3</v>
      </c>
      <c r="D106" s="184">
        <f t="shared" si="11"/>
        <v>44.1</v>
      </c>
      <c r="E106" s="184">
        <f t="shared" si="14"/>
        <v>132.30000000000001</v>
      </c>
      <c r="F106" s="184">
        <f t="shared" si="12"/>
        <v>0.81556195965417866</v>
      </c>
      <c r="G106" s="185">
        <f t="shared" si="13"/>
        <v>1.0789884726224785E-7</v>
      </c>
    </row>
    <row r="107" spans="2:7" ht="15" x14ac:dyDescent="0.25">
      <c r="B107" s="188" t="s">
        <v>386</v>
      </c>
      <c r="C107" s="196">
        <f t="shared" si="10"/>
        <v>1</v>
      </c>
      <c r="D107" s="184">
        <f t="shared" si="11"/>
        <v>47.3</v>
      </c>
      <c r="E107" s="184">
        <f t="shared" si="14"/>
        <v>47.3</v>
      </c>
      <c r="F107" s="184">
        <f t="shared" si="12"/>
        <v>0.49354726194628523</v>
      </c>
      <c r="G107" s="185">
        <f t="shared" si="13"/>
        <v>2.3344785490059292E-8</v>
      </c>
    </row>
    <row r="108" spans="2:7" ht="15" x14ac:dyDescent="0.25">
      <c r="B108" s="188" t="s">
        <v>26</v>
      </c>
      <c r="C108" s="196">
        <f t="shared" si="10"/>
        <v>3</v>
      </c>
      <c r="D108" s="184">
        <f t="shared" si="11"/>
        <v>40.200000000000003</v>
      </c>
      <c r="E108" s="184">
        <f t="shared" si="14"/>
        <v>120.60000000000001</v>
      </c>
      <c r="F108" s="184">
        <f t="shared" si="12"/>
        <v>0.89818497799999997</v>
      </c>
      <c r="G108" s="185">
        <f t="shared" si="13"/>
        <v>1.083211083468E-7</v>
      </c>
    </row>
    <row r="109" spans="2:7" ht="15" x14ac:dyDescent="0.25">
      <c r="B109" s="188" t="s">
        <v>398</v>
      </c>
      <c r="C109" s="196">
        <f t="shared" si="10"/>
        <v>3</v>
      </c>
      <c r="D109" s="184">
        <f t="shared" si="11"/>
        <v>44.3</v>
      </c>
      <c r="E109" s="184">
        <f t="shared" si="14"/>
        <v>132.89999999999998</v>
      </c>
      <c r="F109" s="184">
        <f t="shared" si="12"/>
        <v>0.74534257599999998</v>
      </c>
      <c r="G109" s="185">
        <f t="shared" si="13"/>
        <v>9.9056028350399987E-8</v>
      </c>
    </row>
    <row r="110" spans="2:7" ht="15" x14ac:dyDescent="0.25">
      <c r="B110" s="188" t="s">
        <v>24</v>
      </c>
      <c r="C110" s="196">
        <f t="shared" si="10"/>
        <v>3</v>
      </c>
      <c r="D110" s="184">
        <f t="shared" si="11"/>
        <v>44.5</v>
      </c>
      <c r="E110" s="184">
        <f t="shared" si="14"/>
        <v>133.5</v>
      </c>
      <c r="F110" s="184">
        <f t="shared" si="12"/>
        <v>0.72836008699999999</v>
      </c>
      <c r="G110" s="185">
        <f t="shared" si="13"/>
        <v>9.7236071614500001E-8</v>
      </c>
    </row>
    <row r="111" spans="2:7" ht="15" x14ac:dyDescent="0.25">
      <c r="B111" s="188" t="s">
        <v>406</v>
      </c>
      <c r="C111" s="196">
        <f t="shared" si="10"/>
        <v>3</v>
      </c>
      <c r="D111" s="184">
        <f t="shared" si="11"/>
        <v>44.2</v>
      </c>
      <c r="E111" s="184">
        <f t="shared" si="14"/>
        <v>132.60000000000002</v>
      </c>
      <c r="F111" s="184" t="str">
        <f t="shared" si="12"/>
        <v/>
      </c>
      <c r="G111" s="185" t="str">
        <f t="shared" si="13"/>
        <v/>
      </c>
    </row>
    <row r="112" spans="2:7" ht="15" x14ac:dyDescent="0.25">
      <c r="B112" s="188" t="s">
        <v>22</v>
      </c>
      <c r="C112" s="196">
        <f t="shared" ref="C112" si="15">VLOOKUP(B112,Manufacturing,2,FALSE)</f>
        <v>3</v>
      </c>
      <c r="D112" s="184">
        <f t="shared" ref="D112" si="16">VLOOKUP(B112,fuelInfo,4,FALSE)</f>
        <v>27.5</v>
      </c>
      <c r="E112" s="184">
        <f t="shared" ref="E112" si="17">C112*D112</f>
        <v>82.5</v>
      </c>
      <c r="F112" s="184" t="str">
        <f t="shared" ref="F112" si="18">IF(VLOOKUP(B112,Density_Config,2,FALSE)=0,"",VLOOKUP(B112,Density_Config,2,FALSE))</f>
        <v/>
      </c>
      <c r="G112" s="185" t="str">
        <f t="shared" ref="G112" si="19">IFERROR((E112/1000000000)*F112,"")</f>
        <v/>
      </c>
    </row>
    <row r="113" spans="2:7" ht="15" x14ac:dyDescent="0.25">
      <c r="B113" s="188" t="s">
        <v>401</v>
      </c>
      <c r="C113" s="196">
        <f t="shared" si="10"/>
        <v>3</v>
      </c>
      <c r="D113" s="184">
        <f t="shared" si="11"/>
        <v>43.8</v>
      </c>
      <c r="E113" s="184">
        <f t="shared" si="14"/>
        <v>131.39999999999998</v>
      </c>
      <c r="F113" s="184">
        <f t="shared" si="12"/>
        <v>0.84832134292565942</v>
      </c>
      <c r="G113" s="185">
        <f t="shared" si="13"/>
        <v>1.1146942446043162E-7</v>
      </c>
    </row>
    <row r="114" spans="2:7" ht="15" x14ac:dyDescent="0.25">
      <c r="B114" s="188" t="s">
        <v>422</v>
      </c>
      <c r="C114" s="196">
        <f t="shared" si="10"/>
        <v>3</v>
      </c>
      <c r="D114" s="184">
        <f t="shared" si="11"/>
        <v>27.4</v>
      </c>
      <c r="E114" s="184">
        <f t="shared" si="14"/>
        <v>82.199999999999989</v>
      </c>
      <c r="F114" s="184" t="str">
        <f t="shared" si="12"/>
        <v/>
      </c>
      <c r="G114" s="185" t="str">
        <f t="shared" si="13"/>
        <v/>
      </c>
    </row>
    <row r="115" spans="2:7" ht="15" x14ac:dyDescent="0.25">
      <c r="B115" s="188" t="s">
        <v>409</v>
      </c>
      <c r="C115" s="196">
        <f t="shared" si="10"/>
        <v>1</v>
      </c>
      <c r="D115" s="184">
        <f t="shared" si="11"/>
        <v>49.5</v>
      </c>
      <c r="E115" s="184">
        <f t="shared" si="14"/>
        <v>49.5</v>
      </c>
      <c r="F115" s="184" t="str">
        <f t="shared" si="12"/>
        <v/>
      </c>
      <c r="G115" s="185" t="str">
        <f t="shared" si="13"/>
        <v/>
      </c>
    </row>
    <row r="116" spans="2:7" ht="15" x14ac:dyDescent="0.25">
      <c r="B116" s="188" t="s">
        <v>408</v>
      </c>
      <c r="C116" s="196">
        <f t="shared" si="10"/>
        <v>3</v>
      </c>
      <c r="D116" s="184">
        <f t="shared" si="11"/>
        <v>43</v>
      </c>
      <c r="E116" s="184">
        <f t="shared" si="14"/>
        <v>129</v>
      </c>
      <c r="F116" s="184" t="str">
        <f t="shared" si="12"/>
        <v/>
      </c>
      <c r="G116" s="185" t="str">
        <f t="shared" si="13"/>
        <v/>
      </c>
    </row>
    <row r="117" spans="2:7" ht="15" x14ac:dyDescent="0.25">
      <c r="B117" s="188" t="s">
        <v>385</v>
      </c>
      <c r="C117" s="196">
        <f t="shared" si="10"/>
        <v>3</v>
      </c>
      <c r="D117" s="184">
        <f t="shared" si="11"/>
        <v>40.4</v>
      </c>
      <c r="E117" s="184">
        <f t="shared" si="14"/>
        <v>121.19999999999999</v>
      </c>
      <c r="F117" s="184">
        <f t="shared" si="12"/>
        <v>0.96108308600000003</v>
      </c>
      <c r="G117" s="185">
        <f t="shared" si="13"/>
        <v>1.1648327002320001E-7</v>
      </c>
    </row>
    <row r="118" spans="2:7" ht="15" x14ac:dyDescent="0.25">
      <c r="B118" s="188" t="s">
        <v>383</v>
      </c>
      <c r="C118" s="196">
        <f t="shared" si="10"/>
        <v>3</v>
      </c>
      <c r="D118" s="184">
        <f t="shared" si="11"/>
        <v>38.1</v>
      </c>
      <c r="E118" s="184">
        <f t="shared" si="14"/>
        <v>114.30000000000001</v>
      </c>
      <c r="F118" s="184" t="str">
        <f t="shared" si="12"/>
        <v/>
      </c>
      <c r="G118" s="185" t="str">
        <f t="shared" si="13"/>
        <v/>
      </c>
    </row>
    <row r="119" spans="2:7" ht="15" x14ac:dyDescent="0.25">
      <c r="B119" s="189" t="s">
        <v>613</v>
      </c>
      <c r="C119" s="196">
        <f t="shared" si="10"/>
        <v>3</v>
      </c>
      <c r="D119" s="184">
        <f t="shared" si="11"/>
        <v>11.8</v>
      </c>
      <c r="E119" s="184">
        <f t="shared" si="14"/>
        <v>35.400000000000006</v>
      </c>
      <c r="F119" s="184" t="str">
        <f t="shared" si="12"/>
        <v/>
      </c>
      <c r="G119" s="185" t="str">
        <f t="shared" si="13"/>
        <v/>
      </c>
    </row>
    <row r="120" spans="2:7" ht="15" x14ac:dyDescent="0.25">
      <c r="B120" s="188" t="s">
        <v>420</v>
      </c>
      <c r="C120" s="196">
        <f t="shared" si="10"/>
        <v>30</v>
      </c>
      <c r="D120" s="184">
        <f t="shared" si="11"/>
        <v>40.200000000000003</v>
      </c>
      <c r="E120" s="184">
        <f t="shared" si="14"/>
        <v>1206</v>
      </c>
      <c r="F120" s="184" t="str">
        <f t="shared" si="12"/>
        <v/>
      </c>
      <c r="G120" s="185" t="str">
        <f t="shared" si="13"/>
        <v/>
      </c>
    </row>
    <row r="121" spans="2:7" ht="15.6" thickBot="1" x14ac:dyDescent="0.3">
      <c r="B121" s="190" t="s">
        <v>411</v>
      </c>
      <c r="C121" s="197">
        <f t="shared" si="10"/>
        <v>3</v>
      </c>
      <c r="D121" s="198">
        <f t="shared" si="11"/>
        <v>40.200000000000003</v>
      </c>
      <c r="E121" s="198">
        <f t="shared" si="14"/>
        <v>120.60000000000001</v>
      </c>
      <c r="F121" s="198" t="str">
        <f t="shared" si="12"/>
        <v/>
      </c>
      <c r="G121" s="186" t="str">
        <f t="shared" si="13"/>
        <v/>
      </c>
    </row>
    <row r="122" spans="2:7" ht="13.8" thickBot="1" x14ac:dyDescent="0.3">
      <c r="B122" s="15" t="s">
        <v>180</v>
      </c>
      <c r="C122" s="20"/>
      <c r="D122" s="20"/>
      <c r="E122" s="20"/>
      <c r="F122" s="20"/>
      <c r="G122" s="14"/>
    </row>
    <row r="124" spans="2:7" ht="15.6" thickBot="1" x14ac:dyDescent="0.3">
      <c r="B124" s="29" t="s">
        <v>603</v>
      </c>
      <c r="C124" s="24"/>
    </row>
    <row r="125" spans="2:7" ht="93" thickBot="1" x14ac:dyDescent="0.3">
      <c r="B125" s="34" t="s">
        <v>21</v>
      </c>
      <c r="C125" s="40" t="s">
        <v>139</v>
      </c>
      <c r="D125" s="38" t="s">
        <v>161</v>
      </c>
      <c r="E125" s="40" t="s">
        <v>162</v>
      </c>
      <c r="F125" s="42" t="s">
        <v>163</v>
      </c>
      <c r="G125" s="39" t="s">
        <v>164</v>
      </c>
    </row>
    <row r="126" spans="2:7" ht="15" x14ac:dyDescent="0.25">
      <c r="B126" s="187" t="s">
        <v>399</v>
      </c>
      <c r="C126" s="201">
        <f t="shared" ref="C126:C148" si="20">VLOOKUP(B126,Construction,2,FALSE)</f>
        <v>3</v>
      </c>
      <c r="D126" s="199">
        <f t="shared" ref="D126:D148" si="21">VLOOKUP(B126,fuelInfo,4,FALSE)</f>
        <v>44.3</v>
      </c>
      <c r="E126" s="199">
        <f t="shared" ref="E126:E148" si="22">C126*D126</f>
        <v>132.89999999999998</v>
      </c>
      <c r="F126" s="199">
        <f t="shared" ref="F126:F148" si="23">IF(VLOOKUP(B126,Density_Config,2,FALSE)=0,"",VLOOKUP(B126,Density_Config,2,FALSE))</f>
        <v>0.70445880999999999</v>
      </c>
      <c r="G126" s="200">
        <f t="shared" ref="G126:G148" si="24">IFERROR((E126/1000000000)*F126,"")</f>
        <v>9.362257584899998E-8</v>
      </c>
    </row>
    <row r="127" spans="2:7" ht="15" x14ac:dyDescent="0.25">
      <c r="B127" s="188" t="s">
        <v>32</v>
      </c>
      <c r="C127" s="196">
        <f t="shared" si="20"/>
        <v>3</v>
      </c>
      <c r="D127" s="184">
        <f t="shared" si="21"/>
        <v>27</v>
      </c>
      <c r="E127" s="184">
        <f t="shared" si="22"/>
        <v>81</v>
      </c>
      <c r="F127" s="184" t="str">
        <f t="shared" si="23"/>
        <v/>
      </c>
      <c r="G127" s="185" t="str">
        <f t="shared" si="24"/>
        <v/>
      </c>
    </row>
    <row r="128" spans="2:7" ht="15" x14ac:dyDescent="0.25">
      <c r="B128" s="188" t="s">
        <v>31</v>
      </c>
      <c r="C128" s="196">
        <f t="shared" si="20"/>
        <v>3</v>
      </c>
      <c r="D128" s="184">
        <f t="shared" si="21"/>
        <v>27</v>
      </c>
      <c r="E128" s="184">
        <f t="shared" si="22"/>
        <v>81</v>
      </c>
      <c r="F128" s="184" t="str">
        <f t="shared" si="23"/>
        <v/>
      </c>
      <c r="G128" s="185" t="str">
        <f t="shared" si="24"/>
        <v/>
      </c>
    </row>
    <row r="129" spans="2:7" ht="15" x14ac:dyDescent="0.25">
      <c r="B129" s="188" t="s">
        <v>397</v>
      </c>
      <c r="C129" s="196">
        <f t="shared" si="20"/>
        <v>3</v>
      </c>
      <c r="D129" s="184">
        <f t="shared" si="21"/>
        <v>42.3</v>
      </c>
      <c r="E129" s="184">
        <f t="shared" si="22"/>
        <v>126.89999999999999</v>
      </c>
      <c r="F129" s="184">
        <f t="shared" si="23"/>
        <v>0.87345679012345701</v>
      </c>
      <c r="G129" s="185">
        <f t="shared" si="24"/>
        <v>1.1084166666666668E-7</v>
      </c>
    </row>
    <row r="130" spans="2:7" ht="15" x14ac:dyDescent="0.25">
      <c r="B130" s="188" t="s">
        <v>23</v>
      </c>
      <c r="C130" s="196">
        <f t="shared" si="20"/>
        <v>1</v>
      </c>
      <c r="D130" s="184">
        <f t="shared" si="21"/>
        <v>46.4</v>
      </c>
      <c r="E130" s="184">
        <f t="shared" si="22"/>
        <v>46.4</v>
      </c>
      <c r="F130" s="184" t="str">
        <f t="shared" si="23"/>
        <v/>
      </c>
      <c r="G130" s="185" t="str">
        <f t="shared" si="24"/>
        <v/>
      </c>
    </row>
    <row r="131" spans="2:7" ht="15" x14ac:dyDescent="0.25">
      <c r="B131" s="188" t="s">
        <v>384</v>
      </c>
      <c r="C131" s="196">
        <f t="shared" si="20"/>
        <v>3</v>
      </c>
      <c r="D131" s="184">
        <f t="shared" si="21"/>
        <v>43</v>
      </c>
      <c r="E131" s="184">
        <f t="shared" si="22"/>
        <v>129</v>
      </c>
      <c r="F131" s="184">
        <f t="shared" si="23"/>
        <v>0.91328052400000004</v>
      </c>
      <c r="G131" s="185">
        <f t="shared" si="24"/>
        <v>1.17813187596E-7</v>
      </c>
    </row>
    <row r="132" spans="2:7" ht="15" x14ac:dyDescent="0.25">
      <c r="B132" s="188" t="s">
        <v>425</v>
      </c>
      <c r="C132" s="196">
        <f t="shared" si="20"/>
        <v>3</v>
      </c>
      <c r="D132" s="184">
        <f t="shared" si="21"/>
        <v>44.3</v>
      </c>
      <c r="E132" s="184">
        <f t="shared" si="22"/>
        <v>132.89999999999998</v>
      </c>
      <c r="F132" s="184">
        <f t="shared" si="23"/>
        <v>0.70445880999999999</v>
      </c>
      <c r="G132" s="185">
        <f t="shared" si="24"/>
        <v>9.362257584899998E-8</v>
      </c>
    </row>
    <row r="133" spans="2:7" ht="15" x14ac:dyDescent="0.25">
      <c r="B133" s="188" t="s">
        <v>400</v>
      </c>
      <c r="C133" s="196">
        <f t="shared" si="20"/>
        <v>3</v>
      </c>
      <c r="D133" s="184">
        <f t="shared" si="21"/>
        <v>44.1</v>
      </c>
      <c r="E133" s="184">
        <f t="shared" si="22"/>
        <v>132.30000000000001</v>
      </c>
      <c r="F133" s="184">
        <f t="shared" si="23"/>
        <v>0.81556195965417866</v>
      </c>
      <c r="G133" s="185">
        <f t="shared" si="24"/>
        <v>1.0789884726224785E-7</v>
      </c>
    </row>
    <row r="134" spans="2:7" ht="15" x14ac:dyDescent="0.25">
      <c r="B134" s="188" t="s">
        <v>386</v>
      </c>
      <c r="C134" s="196">
        <f t="shared" si="20"/>
        <v>1</v>
      </c>
      <c r="D134" s="184">
        <f t="shared" si="21"/>
        <v>47.3</v>
      </c>
      <c r="E134" s="184">
        <f t="shared" si="22"/>
        <v>47.3</v>
      </c>
      <c r="F134" s="184">
        <f t="shared" si="23"/>
        <v>0.49354726194628523</v>
      </c>
      <c r="G134" s="185">
        <f t="shared" si="24"/>
        <v>2.3344785490059292E-8</v>
      </c>
    </row>
    <row r="135" spans="2:7" ht="15" x14ac:dyDescent="0.25">
      <c r="B135" s="188" t="s">
        <v>26</v>
      </c>
      <c r="C135" s="196">
        <f t="shared" si="20"/>
        <v>3</v>
      </c>
      <c r="D135" s="184">
        <f t="shared" si="21"/>
        <v>40.200000000000003</v>
      </c>
      <c r="E135" s="184">
        <f t="shared" si="22"/>
        <v>120.60000000000001</v>
      </c>
      <c r="F135" s="184">
        <f t="shared" si="23"/>
        <v>0.89818497799999997</v>
      </c>
      <c r="G135" s="185">
        <f t="shared" si="24"/>
        <v>1.083211083468E-7</v>
      </c>
    </row>
    <row r="136" spans="2:7" ht="15" x14ac:dyDescent="0.25">
      <c r="B136" s="188" t="s">
        <v>398</v>
      </c>
      <c r="C136" s="196">
        <f t="shared" si="20"/>
        <v>3</v>
      </c>
      <c r="D136" s="184">
        <f t="shared" si="21"/>
        <v>44.3</v>
      </c>
      <c r="E136" s="184">
        <f t="shared" si="22"/>
        <v>132.89999999999998</v>
      </c>
      <c r="F136" s="184">
        <f t="shared" si="23"/>
        <v>0.74534257599999998</v>
      </c>
      <c r="G136" s="185">
        <f t="shared" si="24"/>
        <v>9.9056028350399987E-8</v>
      </c>
    </row>
    <row r="137" spans="2:7" ht="15" x14ac:dyDescent="0.25">
      <c r="B137" s="188" t="s">
        <v>24</v>
      </c>
      <c r="C137" s="196">
        <f t="shared" si="20"/>
        <v>3</v>
      </c>
      <c r="D137" s="184">
        <f t="shared" si="21"/>
        <v>44.5</v>
      </c>
      <c r="E137" s="184">
        <f t="shared" si="22"/>
        <v>133.5</v>
      </c>
      <c r="F137" s="184">
        <f t="shared" si="23"/>
        <v>0.72836008699999999</v>
      </c>
      <c r="G137" s="185">
        <f t="shared" si="24"/>
        <v>9.7236071614500001E-8</v>
      </c>
    </row>
    <row r="138" spans="2:7" ht="15" x14ac:dyDescent="0.25">
      <c r="B138" s="188" t="s">
        <v>406</v>
      </c>
      <c r="C138" s="196">
        <f t="shared" si="20"/>
        <v>3</v>
      </c>
      <c r="D138" s="184">
        <f t="shared" si="21"/>
        <v>44.2</v>
      </c>
      <c r="E138" s="184">
        <f t="shared" si="22"/>
        <v>132.60000000000002</v>
      </c>
      <c r="F138" s="184" t="str">
        <f t="shared" si="23"/>
        <v/>
      </c>
      <c r="G138" s="185" t="str">
        <f t="shared" si="24"/>
        <v/>
      </c>
    </row>
    <row r="139" spans="2:7" ht="15" x14ac:dyDescent="0.25">
      <c r="B139" s="188" t="s">
        <v>22</v>
      </c>
      <c r="C139" s="196">
        <f t="shared" ref="C139" si="25">VLOOKUP(B139,Construction,2,FALSE)</f>
        <v>3</v>
      </c>
      <c r="D139" s="184">
        <f t="shared" ref="D139" si="26">VLOOKUP(B139,fuelInfo,4,FALSE)</f>
        <v>27.5</v>
      </c>
      <c r="E139" s="184">
        <f t="shared" ref="E139" si="27">C139*D139</f>
        <v>82.5</v>
      </c>
      <c r="F139" s="184" t="str">
        <f t="shared" ref="F139" si="28">IF(VLOOKUP(B139,Density_Config,2,FALSE)=0,"",VLOOKUP(B139,Density_Config,2,FALSE))</f>
        <v/>
      </c>
      <c r="G139" s="185" t="str">
        <f t="shared" ref="G139" si="29">IFERROR((E139/1000000000)*F139,"")</f>
        <v/>
      </c>
    </row>
    <row r="140" spans="2:7" ht="15" x14ac:dyDescent="0.25">
      <c r="B140" s="188" t="s">
        <v>401</v>
      </c>
      <c r="C140" s="196">
        <f t="shared" si="20"/>
        <v>3</v>
      </c>
      <c r="D140" s="184">
        <f t="shared" si="21"/>
        <v>43.8</v>
      </c>
      <c r="E140" s="184">
        <f t="shared" si="22"/>
        <v>131.39999999999998</v>
      </c>
      <c r="F140" s="184">
        <f t="shared" si="23"/>
        <v>0.84832134292565942</v>
      </c>
      <c r="G140" s="185">
        <f t="shared" si="24"/>
        <v>1.1146942446043162E-7</v>
      </c>
    </row>
    <row r="141" spans="2:7" ht="15" x14ac:dyDescent="0.25">
      <c r="B141" s="188" t="s">
        <v>422</v>
      </c>
      <c r="C141" s="196">
        <f t="shared" si="20"/>
        <v>3</v>
      </c>
      <c r="D141" s="184">
        <f t="shared" si="21"/>
        <v>27.4</v>
      </c>
      <c r="E141" s="184">
        <f t="shared" si="22"/>
        <v>82.199999999999989</v>
      </c>
      <c r="F141" s="184" t="str">
        <f t="shared" si="23"/>
        <v/>
      </c>
      <c r="G141" s="185" t="str">
        <f t="shared" si="24"/>
        <v/>
      </c>
    </row>
    <row r="142" spans="2:7" ht="15" x14ac:dyDescent="0.25">
      <c r="B142" s="188" t="s">
        <v>409</v>
      </c>
      <c r="C142" s="196">
        <f t="shared" si="20"/>
        <v>1</v>
      </c>
      <c r="D142" s="184">
        <f t="shared" si="21"/>
        <v>49.5</v>
      </c>
      <c r="E142" s="184">
        <f t="shared" si="22"/>
        <v>49.5</v>
      </c>
      <c r="F142" s="184" t="str">
        <f t="shared" si="23"/>
        <v/>
      </c>
      <c r="G142" s="185" t="str">
        <f t="shared" si="24"/>
        <v/>
      </c>
    </row>
    <row r="143" spans="2:7" ht="15" x14ac:dyDescent="0.25">
      <c r="B143" s="188" t="s">
        <v>408</v>
      </c>
      <c r="C143" s="196">
        <f t="shared" si="20"/>
        <v>3</v>
      </c>
      <c r="D143" s="184">
        <f t="shared" si="21"/>
        <v>43</v>
      </c>
      <c r="E143" s="184">
        <f t="shared" si="22"/>
        <v>129</v>
      </c>
      <c r="F143" s="184" t="str">
        <f t="shared" si="23"/>
        <v/>
      </c>
      <c r="G143" s="185" t="str">
        <f t="shared" si="24"/>
        <v/>
      </c>
    </row>
    <row r="144" spans="2:7" ht="15" x14ac:dyDescent="0.25">
      <c r="B144" s="188" t="s">
        <v>385</v>
      </c>
      <c r="C144" s="196">
        <f t="shared" si="20"/>
        <v>3</v>
      </c>
      <c r="D144" s="184">
        <f t="shared" si="21"/>
        <v>40.4</v>
      </c>
      <c r="E144" s="184">
        <f t="shared" si="22"/>
        <v>121.19999999999999</v>
      </c>
      <c r="F144" s="184">
        <f t="shared" si="23"/>
        <v>0.96108308600000003</v>
      </c>
      <c r="G144" s="185">
        <f t="shared" si="24"/>
        <v>1.1648327002320001E-7</v>
      </c>
    </row>
    <row r="145" spans="2:7" ht="15" x14ac:dyDescent="0.25">
      <c r="B145" s="188" t="s">
        <v>383</v>
      </c>
      <c r="C145" s="196">
        <f t="shared" si="20"/>
        <v>3</v>
      </c>
      <c r="D145" s="184">
        <f t="shared" si="21"/>
        <v>38.1</v>
      </c>
      <c r="E145" s="184">
        <f t="shared" si="22"/>
        <v>114.30000000000001</v>
      </c>
      <c r="F145" s="184" t="str">
        <f t="shared" si="23"/>
        <v/>
      </c>
      <c r="G145" s="185" t="str">
        <f t="shared" si="24"/>
        <v/>
      </c>
    </row>
    <row r="146" spans="2:7" ht="15" x14ac:dyDescent="0.25">
      <c r="B146" s="189" t="s">
        <v>613</v>
      </c>
      <c r="C146" s="196">
        <f t="shared" si="20"/>
        <v>3</v>
      </c>
      <c r="D146" s="184">
        <f t="shared" si="21"/>
        <v>11.8</v>
      </c>
      <c r="E146" s="184">
        <f t="shared" si="22"/>
        <v>35.400000000000006</v>
      </c>
      <c r="F146" s="184" t="str">
        <f t="shared" si="23"/>
        <v/>
      </c>
      <c r="G146" s="185" t="str">
        <f t="shared" si="24"/>
        <v/>
      </c>
    </row>
    <row r="147" spans="2:7" ht="15" x14ac:dyDescent="0.25">
      <c r="B147" s="188" t="s">
        <v>420</v>
      </c>
      <c r="C147" s="196">
        <f t="shared" si="20"/>
        <v>30</v>
      </c>
      <c r="D147" s="184">
        <f t="shared" si="21"/>
        <v>40.200000000000003</v>
      </c>
      <c r="E147" s="184">
        <f t="shared" si="22"/>
        <v>1206</v>
      </c>
      <c r="F147" s="184" t="str">
        <f t="shared" si="23"/>
        <v/>
      </c>
      <c r="G147" s="185" t="str">
        <f t="shared" si="24"/>
        <v/>
      </c>
    </row>
    <row r="148" spans="2:7" ht="15.6" thickBot="1" x14ac:dyDescent="0.3">
      <c r="B148" s="190" t="s">
        <v>411</v>
      </c>
      <c r="C148" s="197">
        <f t="shared" si="20"/>
        <v>3</v>
      </c>
      <c r="D148" s="198">
        <f t="shared" si="21"/>
        <v>40.200000000000003</v>
      </c>
      <c r="E148" s="198">
        <f t="shared" si="22"/>
        <v>120.60000000000001</v>
      </c>
      <c r="F148" s="198" t="str">
        <f t="shared" si="23"/>
        <v/>
      </c>
      <c r="G148" s="186" t="str">
        <f t="shared" si="24"/>
        <v/>
      </c>
    </row>
    <row r="149" spans="2:7" ht="13.8" thickBot="1" x14ac:dyDescent="0.3">
      <c r="B149" s="15" t="s">
        <v>181</v>
      </c>
      <c r="C149" s="20"/>
      <c r="D149" s="20"/>
      <c r="E149" s="20"/>
      <c r="F149" s="20"/>
      <c r="G149" s="14"/>
    </row>
    <row r="151" spans="2:7" ht="15.6" thickBot="1" x14ac:dyDescent="0.3">
      <c r="B151" s="29" t="s">
        <v>604</v>
      </c>
      <c r="C151" s="24"/>
    </row>
    <row r="152" spans="2:7" ht="93" thickBot="1" x14ac:dyDescent="0.3">
      <c r="B152" s="34" t="s">
        <v>21</v>
      </c>
      <c r="C152" s="40" t="s">
        <v>139</v>
      </c>
      <c r="D152" s="38" t="s">
        <v>161</v>
      </c>
      <c r="E152" s="42" t="s">
        <v>162</v>
      </c>
      <c r="F152" s="42" t="s">
        <v>163</v>
      </c>
      <c r="G152" s="39" t="s">
        <v>164</v>
      </c>
    </row>
    <row r="153" spans="2:7" ht="15" x14ac:dyDescent="0.25">
      <c r="B153" s="187" t="s">
        <v>399</v>
      </c>
      <c r="C153" s="201">
        <f t="shared" ref="C153:C175" si="30">VLOOKUP(B153,Commercial,2,FALSE)</f>
        <v>10</v>
      </c>
      <c r="D153" s="199">
        <f t="shared" ref="D153:D175" si="31">VLOOKUP(B153,fuelInfo,4,FALSE)</f>
        <v>44.3</v>
      </c>
      <c r="E153" s="199">
        <f>C153*D153</f>
        <v>443</v>
      </c>
      <c r="F153" s="199">
        <f t="shared" ref="F153:F175" si="32">IF(VLOOKUP(B153,Density_Config,2,FALSE)=0,"",VLOOKUP(B153,Density_Config,2,FALSE))</f>
        <v>0.70445880999999999</v>
      </c>
      <c r="G153" s="200">
        <f t="shared" ref="G153:G175" si="33">IFERROR((E153/1000000000)*F153,"")</f>
        <v>3.1207525282999997E-7</v>
      </c>
    </row>
    <row r="154" spans="2:7" ht="15" x14ac:dyDescent="0.25">
      <c r="B154" s="188" t="s">
        <v>32</v>
      </c>
      <c r="C154" s="196">
        <f t="shared" si="30"/>
        <v>10</v>
      </c>
      <c r="D154" s="184">
        <f t="shared" si="31"/>
        <v>27</v>
      </c>
      <c r="E154" s="184">
        <f t="shared" ref="E154:E175" si="34">C154*D154</f>
        <v>270</v>
      </c>
      <c r="F154" s="184" t="str">
        <f t="shared" si="32"/>
        <v/>
      </c>
      <c r="G154" s="185" t="str">
        <f t="shared" si="33"/>
        <v/>
      </c>
    </row>
    <row r="155" spans="2:7" ht="15" x14ac:dyDescent="0.25">
      <c r="B155" s="188" t="s">
        <v>31</v>
      </c>
      <c r="C155" s="196">
        <f t="shared" si="30"/>
        <v>10</v>
      </c>
      <c r="D155" s="184">
        <f t="shared" si="31"/>
        <v>27</v>
      </c>
      <c r="E155" s="184">
        <f t="shared" si="34"/>
        <v>270</v>
      </c>
      <c r="F155" s="184" t="str">
        <f t="shared" si="32"/>
        <v/>
      </c>
      <c r="G155" s="185" t="str">
        <f t="shared" si="33"/>
        <v/>
      </c>
    </row>
    <row r="156" spans="2:7" ht="15" x14ac:dyDescent="0.25">
      <c r="B156" s="188" t="s">
        <v>397</v>
      </c>
      <c r="C156" s="196">
        <f t="shared" si="30"/>
        <v>10</v>
      </c>
      <c r="D156" s="184">
        <f t="shared" si="31"/>
        <v>42.3</v>
      </c>
      <c r="E156" s="184">
        <f t="shared" si="34"/>
        <v>423</v>
      </c>
      <c r="F156" s="184">
        <f t="shared" si="32"/>
        <v>0.87345679012345701</v>
      </c>
      <c r="G156" s="185">
        <f t="shared" si="33"/>
        <v>3.6947222222222232E-7</v>
      </c>
    </row>
    <row r="157" spans="2:7" ht="15" x14ac:dyDescent="0.25">
      <c r="B157" s="188" t="s">
        <v>23</v>
      </c>
      <c r="C157" s="196">
        <f t="shared" si="30"/>
        <v>5</v>
      </c>
      <c r="D157" s="184">
        <f t="shared" si="31"/>
        <v>46.4</v>
      </c>
      <c r="E157" s="184">
        <f t="shared" si="34"/>
        <v>232</v>
      </c>
      <c r="F157" s="184" t="str">
        <f t="shared" si="32"/>
        <v/>
      </c>
      <c r="G157" s="185" t="str">
        <f t="shared" si="33"/>
        <v/>
      </c>
    </row>
    <row r="158" spans="2:7" ht="15" x14ac:dyDescent="0.25">
      <c r="B158" s="188" t="s">
        <v>384</v>
      </c>
      <c r="C158" s="196">
        <f t="shared" si="30"/>
        <v>10</v>
      </c>
      <c r="D158" s="184">
        <f t="shared" si="31"/>
        <v>43</v>
      </c>
      <c r="E158" s="184">
        <f t="shared" si="34"/>
        <v>430</v>
      </c>
      <c r="F158" s="184">
        <f t="shared" si="32"/>
        <v>0.91328052400000004</v>
      </c>
      <c r="G158" s="185">
        <f t="shared" si="33"/>
        <v>3.9271062532000001E-7</v>
      </c>
    </row>
    <row r="159" spans="2:7" ht="15" x14ac:dyDescent="0.25">
      <c r="B159" s="188" t="s">
        <v>425</v>
      </c>
      <c r="C159" s="196">
        <f t="shared" si="30"/>
        <v>10</v>
      </c>
      <c r="D159" s="184">
        <f t="shared" si="31"/>
        <v>44.3</v>
      </c>
      <c r="E159" s="184">
        <f t="shared" si="34"/>
        <v>443</v>
      </c>
      <c r="F159" s="184">
        <f t="shared" si="32"/>
        <v>0.70445880999999999</v>
      </c>
      <c r="G159" s="185">
        <f t="shared" si="33"/>
        <v>3.1207525282999997E-7</v>
      </c>
    </row>
    <row r="160" spans="2:7" ht="15" x14ac:dyDescent="0.25">
      <c r="B160" s="188" t="s">
        <v>400</v>
      </c>
      <c r="C160" s="196">
        <f t="shared" si="30"/>
        <v>10</v>
      </c>
      <c r="D160" s="184">
        <f t="shared" si="31"/>
        <v>44.1</v>
      </c>
      <c r="E160" s="184">
        <f t="shared" si="34"/>
        <v>441</v>
      </c>
      <c r="F160" s="184">
        <f t="shared" si="32"/>
        <v>0.81556195965417866</v>
      </c>
      <c r="G160" s="185">
        <f t="shared" si="33"/>
        <v>3.596628242074928E-7</v>
      </c>
    </row>
    <row r="161" spans="2:7" ht="15" x14ac:dyDescent="0.25">
      <c r="B161" s="188" t="s">
        <v>386</v>
      </c>
      <c r="C161" s="196">
        <f t="shared" si="30"/>
        <v>5</v>
      </c>
      <c r="D161" s="184">
        <f t="shared" si="31"/>
        <v>47.3</v>
      </c>
      <c r="E161" s="184">
        <f t="shared" si="34"/>
        <v>236.5</v>
      </c>
      <c r="F161" s="184">
        <f t="shared" si="32"/>
        <v>0.49354726194628523</v>
      </c>
      <c r="G161" s="185">
        <f t="shared" si="33"/>
        <v>1.1672392745029646E-7</v>
      </c>
    </row>
    <row r="162" spans="2:7" ht="15" x14ac:dyDescent="0.25">
      <c r="B162" s="188" t="s">
        <v>26</v>
      </c>
      <c r="C162" s="196">
        <f t="shared" si="30"/>
        <v>10</v>
      </c>
      <c r="D162" s="184">
        <f t="shared" si="31"/>
        <v>40.200000000000003</v>
      </c>
      <c r="E162" s="184">
        <f t="shared" si="34"/>
        <v>402</v>
      </c>
      <c r="F162" s="184">
        <f t="shared" si="32"/>
        <v>0.89818497799999997</v>
      </c>
      <c r="G162" s="185">
        <f t="shared" si="33"/>
        <v>3.6107036115599999E-7</v>
      </c>
    </row>
    <row r="163" spans="2:7" ht="15" x14ac:dyDescent="0.25">
      <c r="B163" s="188" t="s">
        <v>398</v>
      </c>
      <c r="C163" s="196">
        <f t="shared" si="30"/>
        <v>10</v>
      </c>
      <c r="D163" s="184">
        <f t="shared" si="31"/>
        <v>44.3</v>
      </c>
      <c r="E163" s="184">
        <f t="shared" si="34"/>
        <v>443</v>
      </c>
      <c r="F163" s="184">
        <f t="shared" si="32"/>
        <v>0.74534257599999998</v>
      </c>
      <c r="G163" s="185">
        <f t="shared" si="33"/>
        <v>3.3018676116799996E-7</v>
      </c>
    </row>
    <row r="164" spans="2:7" ht="15" x14ac:dyDescent="0.25">
      <c r="B164" s="188" t="s">
        <v>24</v>
      </c>
      <c r="C164" s="196">
        <f t="shared" si="30"/>
        <v>10</v>
      </c>
      <c r="D164" s="184">
        <f t="shared" si="31"/>
        <v>44.5</v>
      </c>
      <c r="E164" s="184">
        <f t="shared" si="34"/>
        <v>445</v>
      </c>
      <c r="F164" s="184">
        <f t="shared" si="32"/>
        <v>0.72836008699999999</v>
      </c>
      <c r="G164" s="185">
        <f t="shared" si="33"/>
        <v>3.2412023871499998E-7</v>
      </c>
    </row>
    <row r="165" spans="2:7" ht="15" x14ac:dyDescent="0.25">
      <c r="B165" s="188" t="s">
        <v>406</v>
      </c>
      <c r="C165" s="196">
        <f t="shared" si="30"/>
        <v>10</v>
      </c>
      <c r="D165" s="184">
        <f t="shared" si="31"/>
        <v>44.2</v>
      </c>
      <c r="E165" s="184">
        <f t="shared" si="34"/>
        <v>442</v>
      </c>
      <c r="F165" s="184" t="str">
        <f t="shared" si="32"/>
        <v/>
      </c>
      <c r="G165" s="185" t="str">
        <f t="shared" si="33"/>
        <v/>
      </c>
    </row>
    <row r="166" spans="2:7" ht="15" x14ac:dyDescent="0.25">
      <c r="B166" s="188" t="s">
        <v>22</v>
      </c>
      <c r="C166" s="196">
        <f t="shared" ref="C166" si="35">VLOOKUP(B166,Commercial,2,FALSE)</f>
        <v>10</v>
      </c>
      <c r="D166" s="184">
        <f t="shared" ref="D166" si="36">VLOOKUP(B166,fuelInfo,4,FALSE)</f>
        <v>27.5</v>
      </c>
      <c r="E166" s="184">
        <f t="shared" ref="E166" si="37">C166*D166</f>
        <v>275</v>
      </c>
      <c r="F166" s="184" t="str">
        <f t="shared" ref="F166" si="38">IF(VLOOKUP(B166,Density_Config,2,FALSE)=0,"",VLOOKUP(B166,Density_Config,2,FALSE))</f>
        <v/>
      </c>
      <c r="G166" s="185" t="str">
        <f t="shared" ref="G166" si="39">IFERROR((E166/1000000000)*F166,"")</f>
        <v/>
      </c>
    </row>
    <row r="167" spans="2:7" ht="15.75" customHeight="1" x14ac:dyDescent="0.25">
      <c r="B167" s="188" t="s">
        <v>401</v>
      </c>
      <c r="C167" s="196">
        <f t="shared" si="30"/>
        <v>10</v>
      </c>
      <c r="D167" s="184">
        <f t="shared" si="31"/>
        <v>43.8</v>
      </c>
      <c r="E167" s="184">
        <f t="shared" si="34"/>
        <v>438</v>
      </c>
      <c r="F167" s="184">
        <f t="shared" si="32"/>
        <v>0.84832134292565942</v>
      </c>
      <c r="G167" s="185">
        <f t="shared" si="33"/>
        <v>3.7156474820143883E-7</v>
      </c>
    </row>
    <row r="168" spans="2:7" ht="15" x14ac:dyDescent="0.25">
      <c r="B168" s="188" t="s">
        <v>422</v>
      </c>
      <c r="C168" s="196">
        <f t="shared" si="30"/>
        <v>10</v>
      </c>
      <c r="D168" s="184">
        <f t="shared" si="31"/>
        <v>27.4</v>
      </c>
      <c r="E168" s="184">
        <f t="shared" si="34"/>
        <v>274</v>
      </c>
      <c r="F168" s="184" t="str">
        <f t="shared" si="32"/>
        <v/>
      </c>
      <c r="G168" s="185" t="str">
        <f t="shared" si="33"/>
        <v/>
      </c>
    </row>
    <row r="169" spans="2:7" ht="15" x14ac:dyDescent="0.25">
      <c r="B169" s="188" t="s">
        <v>409</v>
      </c>
      <c r="C169" s="196">
        <f t="shared" si="30"/>
        <v>5</v>
      </c>
      <c r="D169" s="184">
        <f t="shared" si="31"/>
        <v>49.5</v>
      </c>
      <c r="E169" s="184">
        <f t="shared" si="34"/>
        <v>247.5</v>
      </c>
      <c r="F169" s="184" t="str">
        <f t="shared" si="32"/>
        <v/>
      </c>
      <c r="G169" s="185" t="str">
        <f t="shared" si="33"/>
        <v/>
      </c>
    </row>
    <row r="170" spans="2:7" ht="15" x14ac:dyDescent="0.25">
      <c r="B170" s="188" t="s">
        <v>408</v>
      </c>
      <c r="C170" s="196">
        <f t="shared" si="30"/>
        <v>10</v>
      </c>
      <c r="D170" s="184">
        <f t="shared" si="31"/>
        <v>43</v>
      </c>
      <c r="E170" s="184">
        <f t="shared" si="34"/>
        <v>430</v>
      </c>
      <c r="F170" s="184" t="str">
        <f t="shared" si="32"/>
        <v/>
      </c>
      <c r="G170" s="185" t="str">
        <f t="shared" si="33"/>
        <v/>
      </c>
    </row>
    <row r="171" spans="2:7" ht="15" x14ac:dyDescent="0.25">
      <c r="B171" s="188" t="s">
        <v>385</v>
      </c>
      <c r="C171" s="196">
        <f t="shared" si="30"/>
        <v>10</v>
      </c>
      <c r="D171" s="184">
        <f t="shared" si="31"/>
        <v>40.4</v>
      </c>
      <c r="E171" s="184">
        <f t="shared" si="34"/>
        <v>404</v>
      </c>
      <c r="F171" s="184">
        <f t="shared" si="32"/>
        <v>0.96108308600000003</v>
      </c>
      <c r="G171" s="185">
        <f t="shared" si="33"/>
        <v>3.8827756674400001E-7</v>
      </c>
    </row>
    <row r="172" spans="2:7" ht="15" x14ac:dyDescent="0.25">
      <c r="B172" s="188" t="s">
        <v>383</v>
      </c>
      <c r="C172" s="196">
        <f t="shared" si="30"/>
        <v>10</v>
      </c>
      <c r="D172" s="184">
        <f t="shared" si="31"/>
        <v>38.1</v>
      </c>
      <c r="E172" s="184">
        <f t="shared" si="34"/>
        <v>381</v>
      </c>
      <c r="F172" s="184" t="str">
        <f t="shared" si="32"/>
        <v/>
      </c>
      <c r="G172" s="185" t="str">
        <f t="shared" si="33"/>
        <v/>
      </c>
    </row>
    <row r="173" spans="2:7" ht="15" x14ac:dyDescent="0.25">
      <c r="B173" s="189" t="s">
        <v>613</v>
      </c>
      <c r="C173" s="196">
        <f t="shared" si="30"/>
        <v>3</v>
      </c>
      <c r="D173" s="184">
        <f t="shared" si="31"/>
        <v>11.8</v>
      </c>
      <c r="E173" s="184">
        <f t="shared" si="34"/>
        <v>35.400000000000006</v>
      </c>
      <c r="F173" s="184" t="str">
        <f t="shared" si="32"/>
        <v/>
      </c>
      <c r="G173" s="185" t="str">
        <f t="shared" si="33"/>
        <v/>
      </c>
    </row>
    <row r="174" spans="2:7" ht="15" x14ac:dyDescent="0.25">
      <c r="B174" s="188" t="s">
        <v>420</v>
      </c>
      <c r="C174" s="196">
        <f t="shared" si="30"/>
        <v>300</v>
      </c>
      <c r="D174" s="184">
        <f t="shared" si="31"/>
        <v>40.200000000000003</v>
      </c>
      <c r="E174" s="184">
        <f t="shared" si="34"/>
        <v>12060</v>
      </c>
      <c r="F174" s="184" t="str">
        <f t="shared" si="32"/>
        <v/>
      </c>
      <c r="G174" s="185" t="str">
        <f t="shared" si="33"/>
        <v/>
      </c>
    </row>
    <row r="175" spans="2:7" ht="15.6" thickBot="1" x14ac:dyDescent="0.3">
      <c r="B175" s="190" t="s">
        <v>411</v>
      </c>
      <c r="C175" s="197">
        <f t="shared" si="30"/>
        <v>10</v>
      </c>
      <c r="D175" s="198">
        <f t="shared" si="31"/>
        <v>40.200000000000003</v>
      </c>
      <c r="E175" s="198">
        <f t="shared" si="34"/>
        <v>402</v>
      </c>
      <c r="F175" s="198" t="str">
        <f t="shared" si="32"/>
        <v/>
      </c>
      <c r="G175" s="186" t="str">
        <f t="shared" si="33"/>
        <v/>
      </c>
    </row>
    <row r="176" spans="2:7" ht="13.8" thickBot="1" x14ac:dyDescent="0.3">
      <c r="B176" s="15" t="s">
        <v>182</v>
      </c>
      <c r="C176" s="20"/>
      <c r="D176" s="20"/>
      <c r="E176" s="20"/>
      <c r="F176" s="20"/>
      <c r="G176" s="14"/>
    </row>
    <row r="178" spans="2:7" ht="15.6" thickBot="1" x14ac:dyDescent="0.3">
      <c r="B178" s="29" t="s">
        <v>606</v>
      </c>
      <c r="C178" s="24"/>
    </row>
    <row r="179" spans="2:7" ht="93" thickBot="1" x14ac:dyDescent="0.3">
      <c r="B179" s="34" t="s">
        <v>21</v>
      </c>
      <c r="C179" s="40" t="s">
        <v>139</v>
      </c>
      <c r="D179" s="38" t="s">
        <v>161</v>
      </c>
      <c r="E179" s="42" t="s">
        <v>162</v>
      </c>
      <c r="F179" s="42" t="s">
        <v>163</v>
      </c>
      <c r="G179" s="39" t="s">
        <v>164</v>
      </c>
    </row>
    <row r="180" spans="2:7" ht="15" x14ac:dyDescent="0.25">
      <c r="B180" s="187" t="s">
        <v>399</v>
      </c>
      <c r="C180" s="201">
        <f t="shared" ref="C180:C202" si="40">VLOOKUP(B180,Institutional,2,FALSE)</f>
        <v>10</v>
      </c>
      <c r="D180" s="199">
        <f t="shared" ref="D180:D202" si="41">VLOOKUP(B180,fuelInfo,4,FALSE)</f>
        <v>44.3</v>
      </c>
      <c r="E180" s="199">
        <f>C180*D180</f>
        <v>443</v>
      </c>
      <c r="F180" s="199">
        <f t="shared" ref="F180:F202" si="42">IF(VLOOKUP(B180,Density_Config,2,FALSE)=0,"",VLOOKUP(B180,Density_Config,2,FALSE))</f>
        <v>0.70445880999999999</v>
      </c>
      <c r="G180" s="200">
        <f t="shared" ref="G180:G202" si="43">IFERROR((E180/1000000000)*F180,"")</f>
        <v>3.1207525282999997E-7</v>
      </c>
    </row>
    <row r="181" spans="2:7" ht="15" x14ac:dyDescent="0.25">
      <c r="B181" s="188" t="s">
        <v>32</v>
      </c>
      <c r="C181" s="196">
        <f t="shared" si="40"/>
        <v>10</v>
      </c>
      <c r="D181" s="184">
        <f t="shared" si="41"/>
        <v>27</v>
      </c>
      <c r="E181" s="184">
        <f t="shared" ref="E181:E202" si="44">C181*D181</f>
        <v>270</v>
      </c>
      <c r="F181" s="184" t="str">
        <f t="shared" si="42"/>
        <v/>
      </c>
      <c r="G181" s="185" t="str">
        <f t="shared" si="43"/>
        <v/>
      </c>
    </row>
    <row r="182" spans="2:7" ht="15" x14ac:dyDescent="0.25">
      <c r="B182" s="188" t="s">
        <v>31</v>
      </c>
      <c r="C182" s="196">
        <f t="shared" si="40"/>
        <v>10</v>
      </c>
      <c r="D182" s="184">
        <f t="shared" si="41"/>
        <v>27</v>
      </c>
      <c r="E182" s="184">
        <f t="shared" si="44"/>
        <v>270</v>
      </c>
      <c r="F182" s="184" t="str">
        <f t="shared" si="42"/>
        <v/>
      </c>
      <c r="G182" s="185" t="str">
        <f t="shared" si="43"/>
        <v/>
      </c>
    </row>
    <row r="183" spans="2:7" ht="15" x14ac:dyDescent="0.25">
      <c r="B183" s="188" t="s">
        <v>397</v>
      </c>
      <c r="C183" s="196">
        <f t="shared" si="40"/>
        <v>10</v>
      </c>
      <c r="D183" s="184">
        <f t="shared" si="41"/>
        <v>42.3</v>
      </c>
      <c r="E183" s="184">
        <f t="shared" si="44"/>
        <v>423</v>
      </c>
      <c r="F183" s="184">
        <f t="shared" si="42"/>
        <v>0.87345679012345701</v>
      </c>
      <c r="G183" s="185">
        <f t="shared" si="43"/>
        <v>3.6947222222222232E-7</v>
      </c>
    </row>
    <row r="184" spans="2:7" ht="15" x14ac:dyDescent="0.25">
      <c r="B184" s="188" t="s">
        <v>23</v>
      </c>
      <c r="C184" s="196">
        <f t="shared" si="40"/>
        <v>5</v>
      </c>
      <c r="D184" s="184">
        <f t="shared" si="41"/>
        <v>46.4</v>
      </c>
      <c r="E184" s="184">
        <f t="shared" si="44"/>
        <v>232</v>
      </c>
      <c r="F184" s="184" t="str">
        <f t="shared" si="42"/>
        <v/>
      </c>
      <c r="G184" s="185" t="str">
        <f t="shared" si="43"/>
        <v/>
      </c>
    </row>
    <row r="185" spans="2:7" ht="15" x14ac:dyDescent="0.25">
      <c r="B185" s="188" t="s">
        <v>384</v>
      </c>
      <c r="C185" s="196">
        <f t="shared" si="40"/>
        <v>10</v>
      </c>
      <c r="D185" s="184">
        <f t="shared" si="41"/>
        <v>43</v>
      </c>
      <c r="E185" s="184">
        <f t="shared" si="44"/>
        <v>430</v>
      </c>
      <c r="F185" s="184">
        <f t="shared" si="42"/>
        <v>0.91328052400000004</v>
      </c>
      <c r="G185" s="185">
        <f t="shared" si="43"/>
        <v>3.9271062532000001E-7</v>
      </c>
    </row>
    <row r="186" spans="2:7" ht="15" x14ac:dyDescent="0.25">
      <c r="B186" s="188" t="s">
        <v>425</v>
      </c>
      <c r="C186" s="196">
        <f t="shared" si="40"/>
        <v>10</v>
      </c>
      <c r="D186" s="184">
        <f t="shared" si="41"/>
        <v>44.3</v>
      </c>
      <c r="E186" s="184">
        <f t="shared" si="44"/>
        <v>443</v>
      </c>
      <c r="F186" s="184">
        <f t="shared" si="42"/>
        <v>0.70445880999999999</v>
      </c>
      <c r="G186" s="185">
        <f t="shared" si="43"/>
        <v>3.1207525282999997E-7</v>
      </c>
    </row>
    <row r="187" spans="2:7" ht="15" x14ac:dyDescent="0.25">
      <c r="B187" s="188" t="s">
        <v>400</v>
      </c>
      <c r="C187" s="196">
        <f t="shared" si="40"/>
        <v>10</v>
      </c>
      <c r="D187" s="184">
        <f t="shared" si="41"/>
        <v>44.1</v>
      </c>
      <c r="E187" s="184">
        <f t="shared" si="44"/>
        <v>441</v>
      </c>
      <c r="F187" s="184">
        <f t="shared" si="42"/>
        <v>0.81556195965417866</v>
      </c>
      <c r="G187" s="185">
        <f t="shared" si="43"/>
        <v>3.596628242074928E-7</v>
      </c>
    </row>
    <row r="188" spans="2:7" ht="15" x14ac:dyDescent="0.25">
      <c r="B188" s="188" t="s">
        <v>386</v>
      </c>
      <c r="C188" s="196">
        <f t="shared" si="40"/>
        <v>5</v>
      </c>
      <c r="D188" s="184">
        <f t="shared" si="41"/>
        <v>47.3</v>
      </c>
      <c r="E188" s="184">
        <f t="shared" si="44"/>
        <v>236.5</v>
      </c>
      <c r="F188" s="184">
        <f t="shared" si="42"/>
        <v>0.49354726194628523</v>
      </c>
      <c r="G188" s="185">
        <f t="shared" si="43"/>
        <v>1.1672392745029646E-7</v>
      </c>
    </row>
    <row r="189" spans="2:7" ht="15" x14ac:dyDescent="0.25">
      <c r="B189" s="188" t="s">
        <v>26</v>
      </c>
      <c r="C189" s="196">
        <f t="shared" si="40"/>
        <v>10</v>
      </c>
      <c r="D189" s="184">
        <f t="shared" si="41"/>
        <v>40.200000000000003</v>
      </c>
      <c r="E189" s="184">
        <f t="shared" si="44"/>
        <v>402</v>
      </c>
      <c r="F189" s="184">
        <f t="shared" si="42"/>
        <v>0.89818497799999997</v>
      </c>
      <c r="G189" s="185">
        <f t="shared" si="43"/>
        <v>3.6107036115599999E-7</v>
      </c>
    </row>
    <row r="190" spans="2:7" ht="15" x14ac:dyDescent="0.25">
      <c r="B190" s="188" t="s">
        <v>398</v>
      </c>
      <c r="C190" s="196">
        <f t="shared" si="40"/>
        <v>10</v>
      </c>
      <c r="D190" s="184">
        <f t="shared" si="41"/>
        <v>44.3</v>
      </c>
      <c r="E190" s="184">
        <f t="shared" si="44"/>
        <v>443</v>
      </c>
      <c r="F190" s="184">
        <f t="shared" si="42"/>
        <v>0.74534257599999998</v>
      </c>
      <c r="G190" s="185">
        <f t="shared" si="43"/>
        <v>3.3018676116799996E-7</v>
      </c>
    </row>
    <row r="191" spans="2:7" ht="15" x14ac:dyDescent="0.25">
      <c r="B191" s="188" t="s">
        <v>24</v>
      </c>
      <c r="C191" s="196">
        <f t="shared" si="40"/>
        <v>10</v>
      </c>
      <c r="D191" s="184">
        <f t="shared" si="41"/>
        <v>44.5</v>
      </c>
      <c r="E191" s="184">
        <f t="shared" si="44"/>
        <v>445</v>
      </c>
      <c r="F191" s="184">
        <f t="shared" si="42"/>
        <v>0.72836008699999999</v>
      </c>
      <c r="G191" s="185">
        <f t="shared" si="43"/>
        <v>3.2412023871499998E-7</v>
      </c>
    </row>
    <row r="192" spans="2:7" ht="15" x14ac:dyDescent="0.25">
      <c r="B192" s="188" t="s">
        <v>406</v>
      </c>
      <c r="C192" s="196">
        <f t="shared" si="40"/>
        <v>10</v>
      </c>
      <c r="D192" s="184">
        <f t="shared" si="41"/>
        <v>44.2</v>
      </c>
      <c r="E192" s="184">
        <f t="shared" si="44"/>
        <v>442</v>
      </c>
      <c r="F192" s="184" t="str">
        <f t="shared" si="42"/>
        <v/>
      </c>
      <c r="G192" s="185" t="str">
        <f t="shared" si="43"/>
        <v/>
      </c>
    </row>
    <row r="193" spans="2:7" ht="15" x14ac:dyDescent="0.25">
      <c r="B193" s="188" t="s">
        <v>22</v>
      </c>
      <c r="C193" s="196">
        <f t="shared" ref="C193" si="45">VLOOKUP(B193,Institutional,2,FALSE)</f>
        <v>10</v>
      </c>
      <c r="D193" s="184">
        <f t="shared" ref="D193" si="46">VLOOKUP(B193,fuelInfo,4,FALSE)</f>
        <v>27.5</v>
      </c>
      <c r="E193" s="184">
        <f t="shared" ref="E193" si="47">C193*D193</f>
        <v>275</v>
      </c>
      <c r="F193" s="184" t="str">
        <f t="shared" ref="F193" si="48">IF(VLOOKUP(B193,Density_Config,2,FALSE)=0,"",VLOOKUP(B193,Density_Config,2,FALSE))</f>
        <v/>
      </c>
      <c r="G193" s="185" t="str">
        <f t="shared" ref="G193" si="49">IFERROR((E193/1000000000)*F193,"")</f>
        <v/>
      </c>
    </row>
    <row r="194" spans="2:7" ht="15" x14ac:dyDescent="0.25">
      <c r="B194" s="188" t="s">
        <v>401</v>
      </c>
      <c r="C194" s="196">
        <f t="shared" si="40"/>
        <v>10</v>
      </c>
      <c r="D194" s="184">
        <f t="shared" si="41"/>
        <v>43.8</v>
      </c>
      <c r="E194" s="184">
        <f t="shared" si="44"/>
        <v>438</v>
      </c>
      <c r="F194" s="184">
        <f t="shared" si="42"/>
        <v>0.84832134292565942</v>
      </c>
      <c r="G194" s="185">
        <f t="shared" si="43"/>
        <v>3.7156474820143883E-7</v>
      </c>
    </row>
    <row r="195" spans="2:7" ht="15" x14ac:dyDescent="0.25">
      <c r="B195" s="188" t="s">
        <v>422</v>
      </c>
      <c r="C195" s="196">
        <f t="shared" si="40"/>
        <v>10</v>
      </c>
      <c r="D195" s="184">
        <f t="shared" si="41"/>
        <v>27.4</v>
      </c>
      <c r="E195" s="184">
        <f t="shared" si="44"/>
        <v>274</v>
      </c>
      <c r="F195" s="184" t="str">
        <f t="shared" si="42"/>
        <v/>
      </c>
      <c r="G195" s="185" t="str">
        <f t="shared" si="43"/>
        <v/>
      </c>
    </row>
    <row r="196" spans="2:7" ht="15" x14ac:dyDescent="0.25">
      <c r="B196" s="188" t="s">
        <v>409</v>
      </c>
      <c r="C196" s="196">
        <f t="shared" si="40"/>
        <v>5</v>
      </c>
      <c r="D196" s="184">
        <f t="shared" si="41"/>
        <v>49.5</v>
      </c>
      <c r="E196" s="184">
        <f t="shared" si="44"/>
        <v>247.5</v>
      </c>
      <c r="F196" s="184" t="str">
        <f t="shared" si="42"/>
        <v/>
      </c>
      <c r="G196" s="185" t="str">
        <f t="shared" si="43"/>
        <v/>
      </c>
    </row>
    <row r="197" spans="2:7" ht="15" x14ac:dyDescent="0.25">
      <c r="B197" s="188" t="s">
        <v>408</v>
      </c>
      <c r="C197" s="196">
        <f t="shared" si="40"/>
        <v>10</v>
      </c>
      <c r="D197" s="184">
        <f t="shared" si="41"/>
        <v>43</v>
      </c>
      <c r="E197" s="184">
        <f t="shared" si="44"/>
        <v>430</v>
      </c>
      <c r="F197" s="184" t="str">
        <f t="shared" si="42"/>
        <v/>
      </c>
      <c r="G197" s="185" t="str">
        <f t="shared" si="43"/>
        <v/>
      </c>
    </row>
    <row r="198" spans="2:7" ht="15" x14ac:dyDescent="0.25">
      <c r="B198" s="188" t="s">
        <v>385</v>
      </c>
      <c r="C198" s="196">
        <f t="shared" si="40"/>
        <v>10</v>
      </c>
      <c r="D198" s="184">
        <f t="shared" si="41"/>
        <v>40.4</v>
      </c>
      <c r="E198" s="184">
        <f t="shared" si="44"/>
        <v>404</v>
      </c>
      <c r="F198" s="184">
        <f t="shared" si="42"/>
        <v>0.96108308600000003</v>
      </c>
      <c r="G198" s="185">
        <f t="shared" si="43"/>
        <v>3.8827756674400001E-7</v>
      </c>
    </row>
    <row r="199" spans="2:7" ht="15" x14ac:dyDescent="0.25">
      <c r="B199" s="188" t="s">
        <v>383</v>
      </c>
      <c r="C199" s="196">
        <f t="shared" si="40"/>
        <v>10</v>
      </c>
      <c r="D199" s="184">
        <f t="shared" si="41"/>
        <v>38.1</v>
      </c>
      <c r="E199" s="184">
        <f t="shared" si="44"/>
        <v>381</v>
      </c>
      <c r="F199" s="184" t="str">
        <f t="shared" si="42"/>
        <v/>
      </c>
      <c r="G199" s="185" t="str">
        <f t="shared" si="43"/>
        <v/>
      </c>
    </row>
    <row r="200" spans="2:7" ht="15" x14ac:dyDescent="0.25">
      <c r="B200" s="189" t="s">
        <v>613</v>
      </c>
      <c r="C200" s="196">
        <f t="shared" si="40"/>
        <v>3</v>
      </c>
      <c r="D200" s="184">
        <f t="shared" si="41"/>
        <v>11.8</v>
      </c>
      <c r="E200" s="184">
        <f t="shared" si="44"/>
        <v>35.400000000000006</v>
      </c>
      <c r="F200" s="184" t="str">
        <f t="shared" si="42"/>
        <v/>
      </c>
      <c r="G200" s="185" t="str">
        <f t="shared" si="43"/>
        <v/>
      </c>
    </row>
    <row r="201" spans="2:7" ht="15" x14ac:dyDescent="0.25">
      <c r="B201" s="188" t="s">
        <v>420</v>
      </c>
      <c r="C201" s="196">
        <f t="shared" si="40"/>
        <v>300</v>
      </c>
      <c r="D201" s="184">
        <f t="shared" si="41"/>
        <v>40.200000000000003</v>
      </c>
      <c r="E201" s="184">
        <f t="shared" si="44"/>
        <v>12060</v>
      </c>
      <c r="F201" s="184" t="str">
        <f t="shared" si="42"/>
        <v/>
      </c>
      <c r="G201" s="185" t="str">
        <f t="shared" si="43"/>
        <v/>
      </c>
    </row>
    <row r="202" spans="2:7" ht="15.6" thickBot="1" x14ac:dyDescent="0.3">
      <c r="B202" s="190" t="s">
        <v>411</v>
      </c>
      <c r="C202" s="197">
        <f t="shared" si="40"/>
        <v>10</v>
      </c>
      <c r="D202" s="198">
        <f t="shared" si="41"/>
        <v>40.200000000000003</v>
      </c>
      <c r="E202" s="198">
        <f t="shared" si="44"/>
        <v>402</v>
      </c>
      <c r="F202" s="198" t="str">
        <f t="shared" si="42"/>
        <v/>
      </c>
      <c r="G202" s="186" t="str">
        <f t="shared" si="43"/>
        <v/>
      </c>
    </row>
    <row r="203" spans="2:7" ht="13.8" thickBot="1" x14ac:dyDescent="0.3">
      <c r="B203" s="15" t="s">
        <v>183</v>
      </c>
      <c r="C203" s="20"/>
      <c r="D203" s="20"/>
      <c r="E203" s="20"/>
      <c r="F203" s="20"/>
      <c r="G203" s="14"/>
    </row>
    <row r="205" spans="2:7" ht="15.6" thickBot="1" x14ac:dyDescent="0.3">
      <c r="B205" s="29" t="s">
        <v>605</v>
      </c>
      <c r="C205" s="24"/>
    </row>
    <row r="206" spans="2:7" ht="93" thickBot="1" x14ac:dyDescent="0.3">
      <c r="B206" s="34" t="s">
        <v>21</v>
      </c>
      <c r="C206" s="40" t="s">
        <v>139</v>
      </c>
      <c r="D206" s="38" t="s">
        <v>161</v>
      </c>
      <c r="E206" s="42" t="s">
        <v>162</v>
      </c>
      <c r="F206" s="42" t="s">
        <v>163</v>
      </c>
      <c r="G206" s="39" t="s">
        <v>164</v>
      </c>
    </row>
    <row r="207" spans="2:7" ht="15" x14ac:dyDescent="0.25">
      <c r="B207" s="187" t="s">
        <v>399</v>
      </c>
      <c r="C207" s="201">
        <f t="shared" ref="C207" si="50">VLOOKUP(B207,Residential,2,FALSE)</f>
        <v>10</v>
      </c>
      <c r="D207" s="199">
        <f t="shared" ref="D207:D229" si="51">VLOOKUP(B207,fuelInfo,4,FALSE)</f>
        <v>44.3</v>
      </c>
      <c r="E207" s="199">
        <f>C207*D207</f>
        <v>443</v>
      </c>
      <c r="F207" s="199">
        <f t="shared" ref="F207:F229" si="52">IF(VLOOKUP(B207,Density_Config,2,FALSE)=0,"",VLOOKUP(B207,Density_Config,2,FALSE))</f>
        <v>0.70445880999999999</v>
      </c>
      <c r="G207" s="200">
        <f t="shared" ref="G207:G229" si="53">IFERROR((E207/1000000000)*F207,"")</f>
        <v>3.1207525282999997E-7</v>
      </c>
    </row>
    <row r="208" spans="2:7" ht="15" x14ac:dyDescent="0.25">
      <c r="B208" s="188" t="s">
        <v>32</v>
      </c>
      <c r="C208" s="196">
        <f t="shared" ref="C208:C229" si="54">VLOOKUP(B208,Institutional,2,FALSE)</f>
        <v>10</v>
      </c>
      <c r="D208" s="184">
        <f t="shared" si="51"/>
        <v>27</v>
      </c>
      <c r="E208" s="184">
        <f t="shared" ref="E208:E229" si="55">C208*D208</f>
        <v>270</v>
      </c>
      <c r="F208" s="184" t="str">
        <f t="shared" si="52"/>
        <v/>
      </c>
      <c r="G208" s="185" t="str">
        <f t="shared" si="53"/>
        <v/>
      </c>
    </row>
    <row r="209" spans="2:7" ht="15" x14ac:dyDescent="0.25">
      <c r="B209" s="188" t="s">
        <v>31</v>
      </c>
      <c r="C209" s="196">
        <f t="shared" si="54"/>
        <v>10</v>
      </c>
      <c r="D209" s="184">
        <f t="shared" si="51"/>
        <v>27</v>
      </c>
      <c r="E209" s="184">
        <f t="shared" si="55"/>
        <v>270</v>
      </c>
      <c r="F209" s="184" t="str">
        <f t="shared" si="52"/>
        <v/>
      </c>
      <c r="G209" s="185" t="str">
        <f t="shared" si="53"/>
        <v/>
      </c>
    </row>
    <row r="210" spans="2:7" ht="15" x14ac:dyDescent="0.25">
      <c r="B210" s="188" t="s">
        <v>397</v>
      </c>
      <c r="C210" s="196">
        <f t="shared" si="54"/>
        <v>10</v>
      </c>
      <c r="D210" s="184">
        <f t="shared" si="51"/>
        <v>42.3</v>
      </c>
      <c r="E210" s="184">
        <f t="shared" si="55"/>
        <v>423</v>
      </c>
      <c r="F210" s="184">
        <f t="shared" si="52"/>
        <v>0.87345679012345701</v>
      </c>
      <c r="G210" s="185">
        <f t="shared" si="53"/>
        <v>3.6947222222222232E-7</v>
      </c>
    </row>
    <row r="211" spans="2:7" ht="33.75" customHeight="1" x14ac:dyDescent="0.25">
      <c r="B211" s="188" t="s">
        <v>23</v>
      </c>
      <c r="C211" s="196">
        <f t="shared" si="54"/>
        <v>5</v>
      </c>
      <c r="D211" s="184">
        <f t="shared" si="51"/>
        <v>46.4</v>
      </c>
      <c r="E211" s="184">
        <f t="shared" si="55"/>
        <v>232</v>
      </c>
      <c r="F211" s="184" t="str">
        <f t="shared" si="52"/>
        <v/>
      </c>
      <c r="G211" s="185" t="str">
        <f t="shared" si="53"/>
        <v/>
      </c>
    </row>
    <row r="212" spans="2:7" ht="15" x14ac:dyDescent="0.25">
      <c r="B212" s="188" t="s">
        <v>384</v>
      </c>
      <c r="C212" s="196">
        <f t="shared" si="54"/>
        <v>10</v>
      </c>
      <c r="D212" s="184">
        <f t="shared" si="51"/>
        <v>43</v>
      </c>
      <c r="E212" s="184">
        <f t="shared" si="55"/>
        <v>430</v>
      </c>
      <c r="F212" s="184">
        <f t="shared" si="52"/>
        <v>0.91328052400000004</v>
      </c>
      <c r="G212" s="185">
        <f t="shared" si="53"/>
        <v>3.9271062532000001E-7</v>
      </c>
    </row>
    <row r="213" spans="2:7" ht="15" x14ac:dyDescent="0.25">
      <c r="B213" s="188" t="s">
        <v>425</v>
      </c>
      <c r="C213" s="196">
        <f t="shared" si="54"/>
        <v>10</v>
      </c>
      <c r="D213" s="184">
        <f t="shared" si="51"/>
        <v>44.3</v>
      </c>
      <c r="E213" s="184">
        <f t="shared" si="55"/>
        <v>443</v>
      </c>
      <c r="F213" s="184">
        <f t="shared" si="52"/>
        <v>0.70445880999999999</v>
      </c>
      <c r="G213" s="185">
        <f t="shared" si="53"/>
        <v>3.1207525282999997E-7</v>
      </c>
    </row>
    <row r="214" spans="2:7" ht="15" x14ac:dyDescent="0.25">
      <c r="B214" s="188" t="s">
        <v>400</v>
      </c>
      <c r="C214" s="196">
        <f t="shared" si="54"/>
        <v>10</v>
      </c>
      <c r="D214" s="184">
        <f t="shared" si="51"/>
        <v>44.1</v>
      </c>
      <c r="E214" s="184">
        <f t="shared" si="55"/>
        <v>441</v>
      </c>
      <c r="F214" s="184">
        <f t="shared" si="52"/>
        <v>0.81556195965417866</v>
      </c>
      <c r="G214" s="185">
        <f t="shared" si="53"/>
        <v>3.596628242074928E-7</v>
      </c>
    </row>
    <row r="215" spans="2:7" ht="15" x14ac:dyDescent="0.25">
      <c r="B215" s="188" t="s">
        <v>386</v>
      </c>
      <c r="C215" s="196">
        <f t="shared" si="54"/>
        <v>5</v>
      </c>
      <c r="D215" s="184">
        <f t="shared" si="51"/>
        <v>47.3</v>
      </c>
      <c r="E215" s="184">
        <f t="shared" si="55"/>
        <v>236.5</v>
      </c>
      <c r="F215" s="184">
        <f t="shared" si="52"/>
        <v>0.49354726194628523</v>
      </c>
      <c r="G215" s="185">
        <f t="shared" si="53"/>
        <v>1.1672392745029646E-7</v>
      </c>
    </row>
    <row r="216" spans="2:7" ht="15" x14ac:dyDescent="0.25">
      <c r="B216" s="188" t="s">
        <v>26</v>
      </c>
      <c r="C216" s="196">
        <f t="shared" si="54"/>
        <v>10</v>
      </c>
      <c r="D216" s="184">
        <f t="shared" si="51"/>
        <v>40.200000000000003</v>
      </c>
      <c r="E216" s="184">
        <f t="shared" si="55"/>
        <v>402</v>
      </c>
      <c r="F216" s="184">
        <f t="shared" si="52"/>
        <v>0.89818497799999997</v>
      </c>
      <c r="G216" s="185">
        <f t="shared" si="53"/>
        <v>3.6107036115599999E-7</v>
      </c>
    </row>
    <row r="217" spans="2:7" ht="15" x14ac:dyDescent="0.25">
      <c r="B217" s="188" t="s">
        <v>398</v>
      </c>
      <c r="C217" s="196">
        <f t="shared" si="54"/>
        <v>10</v>
      </c>
      <c r="D217" s="184">
        <f t="shared" si="51"/>
        <v>44.3</v>
      </c>
      <c r="E217" s="184">
        <f t="shared" si="55"/>
        <v>443</v>
      </c>
      <c r="F217" s="184">
        <f t="shared" si="52"/>
        <v>0.74534257599999998</v>
      </c>
      <c r="G217" s="185">
        <f t="shared" si="53"/>
        <v>3.3018676116799996E-7</v>
      </c>
    </row>
    <row r="218" spans="2:7" ht="15" x14ac:dyDescent="0.25">
      <c r="B218" s="188" t="s">
        <v>24</v>
      </c>
      <c r="C218" s="196">
        <f t="shared" si="54"/>
        <v>10</v>
      </c>
      <c r="D218" s="184">
        <f t="shared" si="51"/>
        <v>44.5</v>
      </c>
      <c r="E218" s="184">
        <f t="shared" si="55"/>
        <v>445</v>
      </c>
      <c r="F218" s="184">
        <f t="shared" si="52"/>
        <v>0.72836008699999999</v>
      </c>
      <c r="G218" s="185">
        <f t="shared" si="53"/>
        <v>3.2412023871499998E-7</v>
      </c>
    </row>
    <row r="219" spans="2:7" ht="15" x14ac:dyDescent="0.25">
      <c r="B219" s="188" t="s">
        <v>406</v>
      </c>
      <c r="C219" s="196">
        <f t="shared" si="54"/>
        <v>10</v>
      </c>
      <c r="D219" s="184">
        <f t="shared" si="51"/>
        <v>44.2</v>
      </c>
      <c r="E219" s="184">
        <f t="shared" si="55"/>
        <v>442</v>
      </c>
      <c r="F219" s="184" t="str">
        <f t="shared" si="52"/>
        <v/>
      </c>
      <c r="G219" s="185" t="str">
        <f t="shared" si="53"/>
        <v/>
      </c>
    </row>
    <row r="220" spans="2:7" ht="15" x14ac:dyDescent="0.25">
      <c r="B220" s="188" t="s">
        <v>22</v>
      </c>
      <c r="C220" s="196">
        <f t="shared" ref="C220" si="56">VLOOKUP(B220,Institutional,2,FALSE)</f>
        <v>10</v>
      </c>
      <c r="D220" s="184">
        <f t="shared" ref="D220" si="57">VLOOKUP(B220,fuelInfo,4,FALSE)</f>
        <v>27.5</v>
      </c>
      <c r="E220" s="184">
        <f t="shared" ref="E220" si="58">C220*D220</f>
        <v>275</v>
      </c>
      <c r="F220" s="184" t="str">
        <f t="shared" ref="F220" si="59">IF(VLOOKUP(B220,Density_Config,2,FALSE)=0,"",VLOOKUP(B220,Density_Config,2,FALSE))</f>
        <v/>
      </c>
      <c r="G220" s="185" t="str">
        <f t="shared" ref="G220" si="60">IFERROR((E220/1000000000)*F220,"")</f>
        <v/>
      </c>
    </row>
    <row r="221" spans="2:7" ht="15" x14ac:dyDescent="0.25">
      <c r="B221" s="188" t="s">
        <v>401</v>
      </c>
      <c r="C221" s="196">
        <f t="shared" si="54"/>
        <v>10</v>
      </c>
      <c r="D221" s="184">
        <f t="shared" si="51"/>
        <v>43.8</v>
      </c>
      <c r="E221" s="184">
        <f t="shared" si="55"/>
        <v>438</v>
      </c>
      <c r="F221" s="184">
        <f t="shared" si="52"/>
        <v>0.84832134292565942</v>
      </c>
      <c r="G221" s="185">
        <f t="shared" si="53"/>
        <v>3.7156474820143883E-7</v>
      </c>
    </row>
    <row r="222" spans="2:7" ht="15" x14ac:dyDescent="0.25">
      <c r="B222" s="188" t="s">
        <v>422</v>
      </c>
      <c r="C222" s="196">
        <f t="shared" si="54"/>
        <v>10</v>
      </c>
      <c r="D222" s="184">
        <f t="shared" si="51"/>
        <v>27.4</v>
      </c>
      <c r="E222" s="184">
        <f t="shared" si="55"/>
        <v>274</v>
      </c>
      <c r="F222" s="184" t="str">
        <f t="shared" si="52"/>
        <v/>
      </c>
      <c r="G222" s="185" t="str">
        <f t="shared" si="53"/>
        <v/>
      </c>
    </row>
    <row r="223" spans="2:7" ht="15" x14ac:dyDescent="0.25">
      <c r="B223" s="188" t="s">
        <v>409</v>
      </c>
      <c r="C223" s="196">
        <f t="shared" si="54"/>
        <v>5</v>
      </c>
      <c r="D223" s="184">
        <f t="shared" si="51"/>
        <v>49.5</v>
      </c>
      <c r="E223" s="184">
        <f t="shared" si="55"/>
        <v>247.5</v>
      </c>
      <c r="F223" s="184" t="str">
        <f t="shared" si="52"/>
        <v/>
      </c>
      <c r="G223" s="185" t="str">
        <f t="shared" si="53"/>
        <v/>
      </c>
    </row>
    <row r="224" spans="2:7" ht="15" x14ac:dyDescent="0.25">
      <c r="B224" s="188" t="s">
        <v>408</v>
      </c>
      <c r="C224" s="196">
        <f t="shared" si="54"/>
        <v>10</v>
      </c>
      <c r="D224" s="184">
        <f t="shared" si="51"/>
        <v>43</v>
      </c>
      <c r="E224" s="184">
        <f t="shared" si="55"/>
        <v>430</v>
      </c>
      <c r="F224" s="184" t="str">
        <f t="shared" si="52"/>
        <v/>
      </c>
      <c r="G224" s="185" t="str">
        <f t="shared" si="53"/>
        <v/>
      </c>
    </row>
    <row r="225" spans="2:7" ht="15" x14ac:dyDescent="0.25">
      <c r="B225" s="188" t="s">
        <v>385</v>
      </c>
      <c r="C225" s="196">
        <f t="shared" si="54"/>
        <v>10</v>
      </c>
      <c r="D225" s="184">
        <f t="shared" si="51"/>
        <v>40.4</v>
      </c>
      <c r="E225" s="184">
        <f t="shared" si="55"/>
        <v>404</v>
      </c>
      <c r="F225" s="184">
        <f t="shared" si="52"/>
        <v>0.96108308600000003</v>
      </c>
      <c r="G225" s="185">
        <f t="shared" si="53"/>
        <v>3.8827756674400001E-7</v>
      </c>
    </row>
    <row r="226" spans="2:7" ht="15" x14ac:dyDescent="0.25">
      <c r="B226" s="188" t="s">
        <v>383</v>
      </c>
      <c r="C226" s="196">
        <f t="shared" si="54"/>
        <v>10</v>
      </c>
      <c r="D226" s="184">
        <f t="shared" si="51"/>
        <v>38.1</v>
      </c>
      <c r="E226" s="184">
        <f t="shared" si="55"/>
        <v>381</v>
      </c>
      <c r="F226" s="184" t="str">
        <f t="shared" si="52"/>
        <v/>
      </c>
      <c r="G226" s="185" t="str">
        <f t="shared" si="53"/>
        <v/>
      </c>
    </row>
    <row r="227" spans="2:7" ht="15" x14ac:dyDescent="0.25">
      <c r="B227" s="189" t="s">
        <v>613</v>
      </c>
      <c r="C227" s="196">
        <f t="shared" si="54"/>
        <v>3</v>
      </c>
      <c r="D227" s="184">
        <f t="shared" si="51"/>
        <v>11.8</v>
      </c>
      <c r="E227" s="184">
        <f t="shared" si="55"/>
        <v>35.400000000000006</v>
      </c>
      <c r="F227" s="184" t="str">
        <f t="shared" si="52"/>
        <v/>
      </c>
      <c r="G227" s="185" t="str">
        <f t="shared" si="53"/>
        <v/>
      </c>
    </row>
    <row r="228" spans="2:7" ht="15" x14ac:dyDescent="0.25">
      <c r="B228" s="188" t="s">
        <v>420</v>
      </c>
      <c r="C228" s="196">
        <f t="shared" si="54"/>
        <v>300</v>
      </c>
      <c r="D228" s="184">
        <f t="shared" si="51"/>
        <v>40.200000000000003</v>
      </c>
      <c r="E228" s="184">
        <f t="shared" si="55"/>
        <v>12060</v>
      </c>
      <c r="F228" s="184" t="str">
        <f t="shared" si="52"/>
        <v/>
      </c>
      <c r="G228" s="185" t="str">
        <f t="shared" si="53"/>
        <v/>
      </c>
    </row>
    <row r="229" spans="2:7" ht="15.6" thickBot="1" x14ac:dyDescent="0.3">
      <c r="B229" s="190" t="s">
        <v>411</v>
      </c>
      <c r="C229" s="197">
        <f t="shared" si="54"/>
        <v>10</v>
      </c>
      <c r="D229" s="198">
        <f t="shared" si="51"/>
        <v>40.200000000000003</v>
      </c>
      <c r="E229" s="198">
        <f t="shared" si="55"/>
        <v>402</v>
      </c>
      <c r="F229" s="198" t="str">
        <f t="shared" si="52"/>
        <v/>
      </c>
      <c r="G229" s="186" t="str">
        <f t="shared" si="53"/>
        <v/>
      </c>
    </row>
    <row r="230" spans="2:7" ht="13.8" thickBot="1" x14ac:dyDescent="0.3">
      <c r="B230" s="15" t="s">
        <v>184</v>
      </c>
      <c r="C230" s="20"/>
      <c r="D230" s="20"/>
      <c r="E230" s="20"/>
      <c r="F230" s="20"/>
      <c r="G230" s="14"/>
    </row>
    <row r="232" spans="2:7" ht="15.6" thickBot="1" x14ac:dyDescent="0.3">
      <c r="B232" s="29" t="s">
        <v>607</v>
      </c>
      <c r="C232" s="24"/>
    </row>
    <row r="233" spans="2:7" ht="93" thickBot="1" x14ac:dyDescent="0.3">
      <c r="B233" s="34" t="s">
        <v>21</v>
      </c>
      <c r="C233" s="40" t="s">
        <v>139</v>
      </c>
      <c r="D233" s="38" t="s">
        <v>161</v>
      </c>
      <c r="E233" s="42" t="s">
        <v>162</v>
      </c>
      <c r="F233" s="42" t="s">
        <v>163</v>
      </c>
      <c r="G233" s="39" t="s">
        <v>164</v>
      </c>
    </row>
    <row r="234" spans="2:7" ht="15" x14ac:dyDescent="0.25">
      <c r="B234" s="187" t="s">
        <v>399</v>
      </c>
      <c r="C234" s="201">
        <f t="shared" ref="C234:C256" si="61">VLOOKUP(B234,Agriculture,2,FALSE)</f>
        <v>10</v>
      </c>
      <c r="D234" s="199">
        <f t="shared" ref="D234:D256" si="62">VLOOKUP(B234,fuelInfo,4,FALSE)</f>
        <v>44.3</v>
      </c>
      <c r="E234" s="199">
        <f>C234*D234</f>
        <v>443</v>
      </c>
      <c r="F234" s="199">
        <f t="shared" ref="F234:F256" si="63">IF(VLOOKUP(B234,Density_Config,2,FALSE)=0,"",VLOOKUP(B234,Density_Config,2,FALSE))</f>
        <v>0.70445880999999999</v>
      </c>
      <c r="G234" s="200">
        <f t="shared" ref="G234:G256" si="64">IFERROR((E234/1000000000)*F234,"")</f>
        <v>3.1207525282999997E-7</v>
      </c>
    </row>
    <row r="235" spans="2:7" ht="15" x14ac:dyDescent="0.25">
      <c r="B235" s="188" t="s">
        <v>32</v>
      </c>
      <c r="C235" s="196">
        <f t="shared" si="61"/>
        <v>10</v>
      </c>
      <c r="D235" s="184">
        <f t="shared" si="62"/>
        <v>27</v>
      </c>
      <c r="E235" s="184">
        <f t="shared" ref="E235:E256" si="65">C235*D235</f>
        <v>270</v>
      </c>
      <c r="F235" s="184" t="str">
        <f t="shared" si="63"/>
        <v/>
      </c>
      <c r="G235" s="185" t="str">
        <f t="shared" si="64"/>
        <v/>
      </c>
    </row>
    <row r="236" spans="2:7" ht="15" x14ac:dyDescent="0.25">
      <c r="B236" s="188" t="s">
        <v>31</v>
      </c>
      <c r="C236" s="196">
        <f t="shared" si="61"/>
        <v>10</v>
      </c>
      <c r="D236" s="184">
        <f t="shared" si="62"/>
        <v>27</v>
      </c>
      <c r="E236" s="184">
        <f t="shared" si="65"/>
        <v>270</v>
      </c>
      <c r="F236" s="184" t="str">
        <f t="shared" si="63"/>
        <v/>
      </c>
      <c r="G236" s="185" t="str">
        <f t="shared" si="64"/>
        <v/>
      </c>
    </row>
    <row r="237" spans="2:7" ht="15" x14ac:dyDescent="0.25">
      <c r="B237" s="188" t="s">
        <v>397</v>
      </c>
      <c r="C237" s="196">
        <f t="shared" si="61"/>
        <v>10</v>
      </c>
      <c r="D237" s="184">
        <f t="shared" si="62"/>
        <v>42.3</v>
      </c>
      <c r="E237" s="184">
        <f t="shared" si="65"/>
        <v>423</v>
      </c>
      <c r="F237" s="184">
        <f t="shared" si="63"/>
        <v>0.87345679012345701</v>
      </c>
      <c r="G237" s="185">
        <f t="shared" si="64"/>
        <v>3.6947222222222232E-7</v>
      </c>
    </row>
    <row r="238" spans="2:7" ht="15" x14ac:dyDescent="0.25">
      <c r="B238" s="188" t="s">
        <v>23</v>
      </c>
      <c r="C238" s="196">
        <f t="shared" si="61"/>
        <v>5</v>
      </c>
      <c r="D238" s="184">
        <f t="shared" si="62"/>
        <v>46.4</v>
      </c>
      <c r="E238" s="184">
        <f t="shared" si="65"/>
        <v>232</v>
      </c>
      <c r="F238" s="184" t="str">
        <f t="shared" si="63"/>
        <v/>
      </c>
      <c r="G238" s="185" t="str">
        <f t="shared" si="64"/>
        <v/>
      </c>
    </row>
    <row r="239" spans="2:7" ht="15" x14ac:dyDescent="0.25">
      <c r="B239" s="188" t="s">
        <v>384</v>
      </c>
      <c r="C239" s="196">
        <f t="shared" si="61"/>
        <v>10</v>
      </c>
      <c r="D239" s="184">
        <f t="shared" si="62"/>
        <v>43</v>
      </c>
      <c r="E239" s="184">
        <f t="shared" si="65"/>
        <v>430</v>
      </c>
      <c r="F239" s="184">
        <f t="shared" si="63"/>
        <v>0.91328052400000004</v>
      </c>
      <c r="G239" s="185">
        <f t="shared" si="64"/>
        <v>3.9271062532000001E-7</v>
      </c>
    </row>
    <row r="240" spans="2:7" ht="15" x14ac:dyDescent="0.25">
      <c r="B240" s="188" t="s">
        <v>425</v>
      </c>
      <c r="C240" s="196">
        <f t="shared" si="61"/>
        <v>10</v>
      </c>
      <c r="D240" s="184">
        <f t="shared" si="62"/>
        <v>44.3</v>
      </c>
      <c r="E240" s="184">
        <f t="shared" si="65"/>
        <v>443</v>
      </c>
      <c r="F240" s="184">
        <f t="shared" si="63"/>
        <v>0.70445880999999999</v>
      </c>
      <c r="G240" s="185">
        <f t="shared" si="64"/>
        <v>3.1207525282999997E-7</v>
      </c>
    </row>
    <row r="241" spans="2:7" ht="15" x14ac:dyDescent="0.25">
      <c r="B241" s="188" t="s">
        <v>400</v>
      </c>
      <c r="C241" s="196">
        <f t="shared" si="61"/>
        <v>10</v>
      </c>
      <c r="D241" s="184">
        <f t="shared" si="62"/>
        <v>44.1</v>
      </c>
      <c r="E241" s="184">
        <f t="shared" si="65"/>
        <v>441</v>
      </c>
      <c r="F241" s="184">
        <f t="shared" si="63"/>
        <v>0.81556195965417866</v>
      </c>
      <c r="G241" s="185">
        <f t="shared" si="64"/>
        <v>3.596628242074928E-7</v>
      </c>
    </row>
    <row r="242" spans="2:7" ht="15" x14ac:dyDescent="0.25">
      <c r="B242" s="188" t="s">
        <v>386</v>
      </c>
      <c r="C242" s="196">
        <f t="shared" si="61"/>
        <v>5</v>
      </c>
      <c r="D242" s="184">
        <f t="shared" si="62"/>
        <v>47.3</v>
      </c>
      <c r="E242" s="184">
        <f t="shared" si="65"/>
        <v>236.5</v>
      </c>
      <c r="F242" s="184">
        <f t="shared" si="63"/>
        <v>0.49354726194628523</v>
      </c>
      <c r="G242" s="185">
        <f t="shared" si="64"/>
        <v>1.1672392745029646E-7</v>
      </c>
    </row>
    <row r="243" spans="2:7" ht="15" x14ac:dyDescent="0.25">
      <c r="B243" s="188" t="s">
        <v>26</v>
      </c>
      <c r="C243" s="196">
        <f t="shared" si="61"/>
        <v>10</v>
      </c>
      <c r="D243" s="184">
        <f t="shared" si="62"/>
        <v>40.200000000000003</v>
      </c>
      <c r="E243" s="184">
        <f t="shared" si="65"/>
        <v>402</v>
      </c>
      <c r="F243" s="184">
        <f t="shared" si="63"/>
        <v>0.89818497799999997</v>
      </c>
      <c r="G243" s="185">
        <f t="shared" si="64"/>
        <v>3.6107036115599999E-7</v>
      </c>
    </row>
    <row r="244" spans="2:7" ht="15" x14ac:dyDescent="0.25">
      <c r="B244" s="188" t="s">
        <v>398</v>
      </c>
      <c r="C244" s="196">
        <f t="shared" si="61"/>
        <v>10</v>
      </c>
      <c r="D244" s="184">
        <f t="shared" si="62"/>
        <v>44.3</v>
      </c>
      <c r="E244" s="184">
        <f t="shared" si="65"/>
        <v>443</v>
      </c>
      <c r="F244" s="184">
        <f t="shared" si="63"/>
        <v>0.74534257599999998</v>
      </c>
      <c r="G244" s="185">
        <f t="shared" si="64"/>
        <v>3.3018676116799996E-7</v>
      </c>
    </row>
    <row r="245" spans="2:7" ht="15" x14ac:dyDescent="0.25">
      <c r="B245" s="188" t="s">
        <v>24</v>
      </c>
      <c r="C245" s="196">
        <f t="shared" si="61"/>
        <v>10</v>
      </c>
      <c r="D245" s="184">
        <f t="shared" si="62"/>
        <v>44.5</v>
      </c>
      <c r="E245" s="184">
        <f t="shared" si="65"/>
        <v>445</v>
      </c>
      <c r="F245" s="184">
        <f t="shared" si="63"/>
        <v>0.72836008699999999</v>
      </c>
      <c r="G245" s="185">
        <f t="shared" si="64"/>
        <v>3.2412023871499998E-7</v>
      </c>
    </row>
    <row r="246" spans="2:7" ht="15" x14ac:dyDescent="0.25">
      <c r="B246" s="188" t="s">
        <v>406</v>
      </c>
      <c r="C246" s="196">
        <f t="shared" si="61"/>
        <v>10</v>
      </c>
      <c r="D246" s="184">
        <f t="shared" si="62"/>
        <v>44.2</v>
      </c>
      <c r="E246" s="184">
        <f t="shared" si="65"/>
        <v>442</v>
      </c>
      <c r="F246" s="184" t="str">
        <f t="shared" si="63"/>
        <v/>
      </c>
      <c r="G246" s="185" t="str">
        <f t="shared" si="64"/>
        <v/>
      </c>
    </row>
    <row r="247" spans="2:7" ht="15" x14ac:dyDescent="0.25">
      <c r="B247" s="188" t="s">
        <v>22</v>
      </c>
      <c r="C247" s="196">
        <f t="shared" ref="C247" si="66">VLOOKUP(B247,Agriculture,2,FALSE)</f>
        <v>10</v>
      </c>
      <c r="D247" s="184">
        <f t="shared" ref="D247" si="67">VLOOKUP(B247,fuelInfo,4,FALSE)</f>
        <v>27.5</v>
      </c>
      <c r="E247" s="184">
        <f t="shared" ref="E247" si="68">C247*D247</f>
        <v>275</v>
      </c>
      <c r="F247" s="184" t="str">
        <f t="shared" ref="F247" si="69">IF(VLOOKUP(B247,Density_Config,2,FALSE)=0,"",VLOOKUP(B247,Density_Config,2,FALSE))</f>
        <v/>
      </c>
      <c r="G247" s="185" t="str">
        <f t="shared" ref="G247" si="70">IFERROR((E247/1000000000)*F247,"")</f>
        <v/>
      </c>
    </row>
    <row r="248" spans="2:7" ht="15" x14ac:dyDescent="0.25">
      <c r="B248" s="188" t="s">
        <v>401</v>
      </c>
      <c r="C248" s="196">
        <f t="shared" si="61"/>
        <v>10</v>
      </c>
      <c r="D248" s="184">
        <f t="shared" si="62"/>
        <v>43.8</v>
      </c>
      <c r="E248" s="184">
        <f t="shared" si="65"/>
        <v>438</v>
      </c>
      <c r="F248" s="184">
        <f t="shared" si="63"/>
        <v>0.84832134292565942</v>
      </c>
      <c r="G248" s="185">
        <f t="shared" si="64"/>
        <v>3.7156474820143883E-7</v>
      </c>
    </row>
    <row r="249" spans="2:7" ht="15" x14ac:dyDescent="0.25">
      <c r="B249" s="188" t="s">
        <v>422</v>
      </c>
      <c r="C249" s="196">
        <f t="shared" si="61"/>
        <v>10</v>
      </c>
      <c r="D249" s="184">
        <f t="shared" si="62"/>
        <v>27.4</v>
      </c>
      <c r="E249" s="184">
        <f t="shared" si="65"/>
        <v>274</v>
      </c>
      <c r="F249" s="184" t="str">
        <f t="shared" si="63"/>
        <v/>
      </c>
      <c r="G249" s="185" t="str">
        <f t="shared" si="64"/>
        <v/>
      </c>
    </row>
    <row r="250" spans="2:7" ht="15" x14ac:dyDescent="0.25">
      <c r="B250" s="188" t="s">
        <v>409</v>
      </c>
      <c r="C250" s="196">
        <f t="shared" si="61"/>
        <v>5</v>
      </c>
      <c r="D250" s="184">
        <f t="shared" si="62"/>
        <v>49.5</v>
      </c>
      <c r="E250" s="184">
        <f t="shared" si="65"/>
        <v>247.5</v>
      </c>
      <c r="F250" s="184" t="str">
        <f t="shared" si="63"/>
        <v/>
      </c>
      <c r="G250" s="185" t="str">
        <f t="shared" si="64"/>
        <v/>
      </c>
    </row>
    <row r="251" spans="2:7" ht="15" x14ac:dyDescent="0.25">
      <c r="B251" s="188" t="s">
        <v>408</v>
      </c>
      <c r="C251" s="196">
        <f t="shared" si="61"/>
        <v>10</v>
      </c>
      <c r="D251" s="184">
        <f t="shared" si="62"/>
        <v>43</v>
      </c>
      <c r="E251" s="184">
        <f t="shared" si="65"/>
        <v>430</v>
      </c>
      <c r="F251" s="184" t="str">
        <f t="shared" si="63"/>
        <v/>
      </c>
      <c r="G251" s="185" t="str">
        <f t="shared" si="64"/>
        <v/>
      </c>
    </row>
    <row r="252" spans="2:7" ht="15" x14ac:dyDescent="0.25">
      <c r="B252" s="188" t="s">
        <v>385</v>
      </c>
      <c r="C252" s="196">
        <f t="shared" si="61"/>
        <v>10</v>
      </c>
      <c r="D252" s="184">
        <f t="shared" si="62"/>
        <v>40.4</v>
      </c>
      <c r="E252" s="184">
        <f t="shared" si="65"/>
        <v>404</v>
      </c>
      <c r="F252" s="184">
        <f t="shared" si="63"/>
        <v>0.96108308600000003</v>
      </c>
      <c r="G252" s="185">
        <f t="shared" si="64"/>
        <v>3.8827756674400001E-7</v>
      </c>
    </row>
    <row r="253" spans="2:7" ht="15" x14ac:dyDescent="0.25">
      <c r="B253" s="188" t="s">
        <v>383</v>
      </c>
      <c r="C253" s="196">
        <f t="shared" si="61"/>
        <v>10</v>
      </c>
      <c r="D253" s="184">
        <f t="shared" si="62"/>
        <v>38.1</v>
      </c>
      <c r="E253" s="184">
        <f t="shared" si="65"/>
        <v>381</v>
      </c>
      <c r="F253" s="184" t="str">
        <f t="shared" si="63"/>
        <v/>
      </c>
      <c r="G253" s="185" t="str">
        <f t="shared" si="64"/>
        <v/>
      </c>
    </row>
    <row r="254" spans="2:7" ht="15" x14ac:dyDescent="0.25">
      <c r="B254" s="189" t="s">
        <v>613</v>
      </c>
      <c r="C254" s="196">
        <f t="shared" si="61"/>
        <v>3</v>
      </c>
      <c r="D254" s="184">
        <f t="shared" si="62"/>
        <v>11.8</v>
      </c>
      <c r="E254" s="184">
        <f t="shared" si="65"/>
        <v>35.400000000000006</v>
      </c>
      <c r="F254" s="184" t="str">
        <f t="shared" si="63"/>
        <v/>
      </c>
      <c r="G254" s="185" t="str">
        <f t="shared" si="64"/>
        <v/>
      </c>
    </row>
    <row r="255" spans="2:7" ht="15" x14ac:dyDescent="0.25">
      <c r="B255" s="188" t="s">
        <v>420</v>
      </c>
      <c r="C255" s="196">
        <f t="shared" si="61"/>
        <v>300</v>
      </c>
      <c r="D255" s="184">
        <f t="shared" si="62"/>
        <v>40.200000000000003</v>
      </c>
      <c r="E255" s="184">
        <f t="shared" si="65"/>
        <v>12060</v>
      </c>
      <c r="F255" s="184" t="str">
        <f t="shared" si="63"/>
        <v/>
      </c>
      <c r="G255" s="185" t="str">
        <f t="shared" si="64"/>
        <v/>
      </c>
    </row>
    <row r="256" spans="2:7" ht="15.6" thickBot="1" x14ac:dyDescent="0.3">
      <c r="B256" s="190" t="s">
        <v>411</v>
      </c>
      <c r="C256" s="197">
        <f t="shared" si="61"/>
        <v>10</v>
      </c>
      <c r="D256" s="198">
        <f t="shared" si="62"/>
        <v>40.200000000000003</v>
      </c>
      <c r="E256" s="198">
        <f t="shared" si="65"/>
        <v>402</v>
      </c>
      <c r="F256" s="198" t="str">
        <f t="shared" si="63"/>
        <v/>
      </c>
      <c r="G256" s="186" t="str">
        <f t="shared" si="64"/>
        <v/>
      </c>
    </row>
    <row r="257" spans="2:7" ht="13.8" thickBot="1" x14ac:dyDescent="0.3">
      <c r="B257" s="15" t="s">
        <v>185</v>
      </c>
      <c r="C257" s="20"/>
      <c r="D257" s="20"/>
      <c r="E257" s="20"/>
      <c r="F257" s="20"/>
      <c r="G257" s="14"/>
    </row>
    <row r="259" spans="2:7" ht="15.6" thickBot="1" x14ac:dyDescent="0.3">
      <c r="B259" s="29" t="s">
        <v>608</v>
      </c>
      <c r="C259" s="24"/>
    </row>
    <row r="260" spans="2:7" ht="93" thickBot="1" x14ac:dyDescent="0.3">
      <c r="B260" s="34" t="s">
        <v>21</v>
      </c>
      <c r="C260" s="40" t="s">
        <v>139</v>
      </c>
      <c r="D260" s="38" t="s">
        <v>161</v>
      </c>
      <c r="E260" s="42" t="s">
        <v>162</v>
      </c>
      <c r="F260" s="42" t="s">
        <v>163</v>
      </c>
      <c r="G260" s="39" t="s">
        <v>164</v>
      </c>
    </row>
    <row r="261" spans="2:7" ht="15" x14ac:dyDescent="0.25">
      <c r="B261" s="187" t="s">
        <v>399</v>
      </c>
      <c r="C261" s="201">
        <f t="shared" ref="C261:C283" si="71">VLOOKUP(B261,Forestry,2,FALSE)</f>
        <v>10</v>
      </c>
      <c r="D261" s="199">
        <f t="shared" ref="D261:D283" si="72">VLOOKUP(B261,fuelInfo,4,FALSE)</f>
        <v>44.3</v>
      </c>
      <c r="E261" s="199">
        <f>C261*D261</f>
        <v>443</v>
      </c>
      <c r="F261" s="199">
        <f t="shared" ref="F261:F283" si="73">IF(VLOOKUP(B261,Density_Config,2,FALSE)=0,"",VLOOKUP(B261,Density_Config,2,FALSE))</f>
        <v>0.70445880999999999</v>
      </c>
      <c r="G261" s="200">
        <f t="shared" ref="G261:G283" si="74">IFERROR((E261/1000000000)*F261,"")</f>
        <v>3.1207525282999997E-7</v>
      </c>
    </row>
    <row r="262" spans="2:7" ht="15" x14ac:dyDescent="0.25">
      <c r="B262" s="188" t="s">
        <v>32</v>
      </c>
      <c r="C262" s="196">
        <f t="shared" si="71"/>
        <v>10</v>
      </c>
      <c r="D262" s="184">
        <f t="shared" si="72"/>
        <v>27</v>
      </c>
      <c r="E262" s="184">
        <f t="shared" ref="E262:E283" si="75">C262*D262</f>
        <v>270</v>
      </c>
      <c r="F262" s="184" t="str">
        <f t="shared" si="73"/>
        <v/>
      </c>
      <c r="G262" s="185" t="str">
        <f t="shared" si="74"/>
        <v/>
      </c>
    </row>
    <row r="263" spans="2:7" ht="15" x14ac:dyDescent="0.25">
      <c r="B263" s="188" t="s">
        <v>31</v>
      </c>
      <c r="C263" s="196">
        <f t="shared" si="71"/>
        <v>10</v>
      </c>
      <c r="D263" s="184">
        <f t="shared" si="72"/>
        <v>27</v>
      </c>
      <c r="E263" s="184">
        <f t="shared" si="75"/>
        <v>270</v>
      </c>
      <c r="F263" s="184" t="str">
        <f t="shared" si="73"/>
        <v/>
      </c>
      <c r="G263" s="185" t="str">
        <f t="shared" si="74"/>
        <v/>
      </c>
    </row>
    <row r="264" spans="2:7" ht="15" x14ac:dyDescent="0.25">
      <c r="B264" s="188" t="s">
        <v>397</v>
      </c>
      <c r="C264" s="196">
        <f t="shared" si="71"/>
        <v>10</v>
      </c>
      <c r="D264" s="184">
        <f t="shared" si="72"/>
        <v>42.3</v>
      </c>
      <c r="E264" s="184">
        <f t="shared" si="75"/>
        <v>423</v>
      </c>
      <c r="F264" s="184">
        <f t="shared" si="73"/>
        <v>0.87345679012345701</v>
      </c>
      <c r="G264" s="185">
        <f t="shared" si="74"/>
        <v>3.6947222222222232E-7</v>
      </c>
    </row>
    <row r="265" spans="2:7" ht="15" x14ac:dyDescent="0.25">
      <c r="B265" s="188" t="s">
        <v>23</v>
      </c>
      <c r="C265" s="196">
        <f t="shared" si="71"/>
        <v>5</v>
      </c>
      <c r="D265" s="184">
        <f t="shared" si="72"/>
        <v>46.4</v>
      </c>
      <c r="E265" s="184">
        <f t="shared" si="75"/>
        <v>232</v>
      </c>
      <c r="F265" s="184" t="str">
        <f t="shared" si="73"/>
        <v/>
      </c>
      <c r="G265" s="185" t="str">
        <f t="shared" si="74"/>
        <v/>
      </c>
    </row>
    <row r="266" spans="2:7" ht="15" x14ac:dyDescent="0.25">
      <c r="B266" s="188" t="s">
        <v>384</v>
      </c>
      <c r="C266" s="196">
        <f t="shared" si="71"/>
        <v>10</v>
      </c>
      <c r="D266" s="184">
        <f t="shared" si="72"/>
        <v>43</v>
      </c>
      <c r="E266" s="184">
        <f t="shared" si="75"/>
        <v>430</v>
      </c>
      <c r="F266" s="184">
        <f t="shared" si="73"/>
        <v>0.91328052400000004</v>
      </c>
      <c r="G266" s="185">
        <f t="shared" si="74"/>
        <v>3.9271062532000001E-7</v>
      </c>
    </row>
    <row r="267" spans="2:7" ht="15" x14ac:dyDescent="0.25">
      <c r="B267" s="188" t="s">
        <v>425</v>
      </c>
      <c r="C267" s="196">
        <f t="shared" si="71"/>
        <v>10</v>
      </c>
      <c r="D267" s="184">
        <f t="shared" si="72"/>
        <v>44.3</v>
      </c>
      <c r="E267" s="184">
        <f t="shared" si="75"/>
        <v>443</v>
      </c>
      <c r="F267" s="184">
        <f t="shared" si="73"/>
        <v>0.70445880999999999</v>
      </c>
      <c r="G267" s="185">
        <f t="shared" si="74"/>
        <v>3.1207525282999997E-7</v>
      </c>
    </row>
    <row r="268" spans="2:7" ht="15" x14ac:dyDescent="0.25">
      <c r="B268" s="188" t="s">
        <v>400</v>
      </c>
      <c r="C268" s="196">
        <f t="shared" si="71"/>
        <v>10</v>
      </c>
      <c r="D268" s="184">
        <f t="shared" si="72"/>
        <v>44.1</v>
      </c>
      <c r="E268" s="184">
        <f t="shared" si="75"/>
        <v>441</v>
      </c>
      <c r="F268" s="184">
        <f t="shared" si="73"/>
        <v>0.81556195965417866</v>
      </c>
      <c r="G268" s="185">
        <f t="shared" si="74"/>
        <v>3.596628242074928E-7</v>
      </c>
    </row>
    <row r="269" spans="2:7" ht="15" x14ac:dyDescent="0.25">
      <c r="B269" s="188" t="s">
        <v>386</v>
      </c>
      <c r="C269" s="196">
        <f t="shared" si="71"/>
        <v>5</v>
      </c>
      <c r="D269" s="184">
        <f t="shared" si="72"/>
        <v>47.3</v>
      </c>
      <c r="E269" s="184">
        <f t="shared" si="75"/>
        <v>236.5</v>
      </c>
      <c r="F269" s="184">
        <f t="shared" si="73"/>
        <v>0.49354726194628523</v>
      </c>
      <c r="G269" s="185">
        <f t="shared" si="74"/>
        <v>1.1672392745029646E-7</v>
      </c>
    </row>
    <row r="270" spans="2:7" ht="15" x14ac:dyDescent="0.25">
      <c r="B270" s="188" t="s">
        <v>26</v>
      </c>
      <c r="C270" s="196">
        <f t="shared" si="71"/>
        <v>10</v>
      </c>
      <c r="D270" s="184">
        <f t="shared" si="72"/>
        <v>40.200000000000003</v>
      </c>
      <c r="E270" s="184">
        <f t="shared" si="75"/>
        <v>402</v>
      </c>
      <c r="F270" s="184">
        <f t="shared" si="73"/>
        <v>0.89818497799999997</v>
      </c>
      <c r="G270" s="185">
        <f t="shared" si="74"/>
        <v>3.6107036115599999E-7</v>
      </c>
    </row>
    <row r="271" spans="2:7" ht="15" x14ac:dyDescent="0.25">
      <c r="B271" s="188" t="s">
        <v>398</v>
      </c>
      <c r="C271" s="196">
        <f t="shared" si="71"/>
        <v>10</v>
      </c>
      <c r="D271" s="184">
        <f t="shared" si="72"/>
        <v>44.3</v>
      </c>
      <c r="E271" s="184">
        <f t="shared" si="75"/>
        <v>443</v>
      </c>
      <c r="F271" s="184">
        <f t="shared" si="73"/>
        <v>0.74534257599999998</v>
      </c>
      <c r="G271" s="185">
        <f t="shared" si="74"/>
        <v>3.3018676116799996E-7</v>
      </c>
    </row>
    <row r="272" spans="2:7" ht="15" x14ac:dyDescent="0.25">
      <c r="B272" s="188" t="s">
        <v>24</v>
      </c>
      <c r="C272" s="196">
        <f t="shared" si="71"/>
        <v>10</v>
      </c>
      <c r="D272" s="184">
        <f t="shared" si="72"/>
        <v>44.5</v>
      </c>
      <c r="E272" s="184">
        <f t="shared" si="75"/>
        <v>445</v>
      </c>
      <c r="F272" s="184">
        <f t="shared" si="73"/>
        <v>0.72836008699999999</v>
      </c>
      <c r="G272" s="185">
        <f t="shared" si="74"/>
        <v>3.2412023871499998E-7</v>
      </c>
    </row>
    <row r="273" spans="2:7" ht="15" x14ac:dyDescent="0.25">
      <c r="B273" s="188" t="s">
        <v>406</v>
      </c>
      <c r="C273" s="196">
        <f t="shared" si="71"/>
        <v>10</v>
      </c>
      <c r="D273" s="184">
        <f t="shared" si="72"/>
        <v>44.2</v>
      </c>
      <c r="E273" s="184">
        <f t="shared" si="75"/>
        <v>442</v>
      </c>
      <c r="F273" s="184" t="str">
        <f t="shared" si="73"/>
        <v/>
      </c>
      <c r="G273" s="185" t="str">
        <f t="shared" si="74"/>
        <v/>
      </c>
    </row>
    <row r="274" spans="2:7" ht="15" x14ac:dyDescent="0.25">
      <c r="B274" s="188" t="s">
        <v>22</v>
      </c>
      <c r="C274" s="196">
        <f t="shared" ref="C274" si="76">VLOOKUP(B274,Forestry,2,FALSE)</f>
        <v>10</v>
      </c>
      <c r="D274" s="184">
        <f t="shared" ref="D274" si="77">VLOOKUP(B274,fuelInfo,4,FALSE)</f>
        <v>27.5</v>
      </c>
      <c r="E274" s="184">
        <f t="shared" ref="E274" si="78">C274*D274</f>
        <v>275</v>
      </c>
      <c r="F274" s="184" t="str">
        <f t="shared" ref="F274" si="79">IF(VLOOKUP(B274,Density_Config,2,FALSE)=0,"",VLOOKUP(B274,Density_Config,2,FALSE))</f>
        <v/>
      </c>
      <c r="G274" s="185" t="str">
        <f t="shared" ref="G274" si="80">IFERROR((E274/1000000000)*F274,"")</f>
        <v/>
      </c>
    </row>
    <row r="275" spans="2:7" ht="15" x14ac:dyDescent="0.25">
      <c r="B275" s="188" t="s">
        <v>401</v>
      </c>
      <c r="C275" s="196">
        <f t="shared" si="71"/>
        <v>10</v>
      </c>
      <c r="D275" s="184">
        <f t="shared" si="72"/>
        <v>43.8</v>
      </c>
      <c r="E275" s="184">
        <f t="shared" si="75"/>
        <v>438</v>
      </c>
      <c r="F275" s="184">
        <f t="shared" si="73"/>
        <v>0.84832134292565942</v>
      </c>
      <c r="G275" s="185">
        <f t="shared" si="74"/>
        <v>3.7156474820143883E-7</v>
      </c>
    </row>
    <row r="276" spans="2:7" ht="15" x14ac:dyDescent="0.25">
      <c r="B276" s="188" t="s">
        <v>422</v>
      </c>
      <c r="C276" s="196">
        <f t="shared" si="71"/>
        <v>10</v>
      </c>
      <c r="D276" s="184">
        <f t="shared" si="72"/>
        <v>27.4</v>
      </c>
      <c r="E276" s="184">
        <f t="shared" si="75"/>
        <v>274</v>
      </c>
      <c r="F276" s="184" t="str">
        <f t="shared" si="73"/>
        <v/>
      </c>
      <c r="G276" s="185" t="str">
        <f t="shared" si="74"/>
        <v/>
      </c>
    </row>
    <row r="277" spans="2:7" ht="15" x14ac:dyDescent="0.25">
      <c r="B277" s="188" t="s">
        <v>409</v>
      </c>
      <c r="C277" s="196">
        <f t="shared" si="71"/>
        <v>5</v>
      </c>
      <c r="D277" s="184">
        <f t="shared" si="72"/>
        <v>49.5</v>
      </c>
      <c r="E277" s="184">
        <f t="shared" si="75"/>
        <v>247.5</v>
      </c>
      <c r="F277" s="184" t="str">
        <f t="shared" si="73"/>
        <v/>
      </c>
      <c r="G277" s="185" t="str">
        <f t="shared" si="74"/>
        <v/>
      </c>
    </row>
    <row r="278" spans="2:7" ht="15" x14ac:dyDescent="0.25">
      <c r="B278" s="188" t="s">
        <v>408</v>
      </c>
      <c r="C278" s="196">
        <f t="shared" si="71"/>
        <v>10</v>
      </c>
      <c r="D278" s="184">
        <f t="shared" si="72"/>
        <v>43</v>
      </c>
      <c r="E278" s="184">
        <f t="shared" si="75"/>
        <v>430</v>
      </c>
      <c r="F278" s="184" t="str">
        <f t="shared" si="73"/>
        <v/>
      </c>
      <c r="G278" s="185" t="str">
        <f t="shared" si="74"/>
        <v/>
      </c>
    </row>
    <row r="279" spans="2:7" ht="15" x14ac:dyDescent="0.25">
      <c r="B279" s="188" t="s">
        <v>385</v>
      </c>
      <c r="C279" s="196">
        <f t="shared" si="71"/>
        <v>10</v>
      </c>
      <c r="D279" s="184">
        <f t="shared" si="72"/>
        <v>40.4</v>
      </c>
      <c r="E279" s="184">
        <f t="shared" si="75"/>
        <v>404</v>
      </c>
      <c r="F279" s="184">
        <f t="shared" si="73"/>
        <v>0.96108308600000003</v>
      </c>
      <c r="G279" s="185">
        <f t="shared" si="74"/>
        <v>3.8827756674400001E-7</v>
      </c>
    </row>
    <row r="280" spans="2:7" ht="15" x14ac:dyDescent="0.25">
      <c r="B280" s="188" t="s">
        <v>383</v>
      </c>
      <c r="C280" s="196">
        <f t="shared" si="71"/>
        <v>10</v>
      </c>
      <c r="D280" s="184">
        <f t="shared" si="72"/>
        <v>38.1</v>
      </c>
      <c r="E280" s="184">
        <f t="shared" si="75"/>
        <v>381</v>
      </c>
      <c r="F280" s="184" t="str">
        <f t="shared" si="73"/>
        <v/>
      </c>
      <c r="G280" s="185" t="str">
        <f t="shared" si="74"/>
        <v/>
      </c>
    </row>
    <row r="281" spans="2:7" ht="15" x14ac:dyDescent="0.25">
      <c r="B281" s="189" t="s">
        <v>613</v>
      </c>
      <c r="C281" s="196">
        <f t="shared" si="71"/>
        <v>3</v>
      </c>
      <c r="D281" s="184">
        <f t="shared" si="72"/>
        <v>11.8</v>
      </c>
      <c r="E281" s="184">
        <f t="shared" si="75"/>
        <v>35.400000000000006</v>
      </c>
      <c r="F281" s="184" t="str">
        <f t="shared" si="73"/>
        <v/>
      </c>
      <c r="G281" s="185" t="str">
        <f t="shared" si="74"/>
        <v/>
      </c>
    </row>
    <row r="282" spans="2:7" ht="15" x14ac:dyDescent="0.25">
      <c r="B282" s="188" t="s">
        <v>420</v>
      </c>
      <c r="C282" s="196">
        <f t="shared" si="71"/>
        <v>300</v>
      </c>
      <c r="D282" s="184">
        <f t="shared" si="72"/>
        <v>40.200000000000003</v>
      </c>
      <c r="E282" s="184">
        <f t="shared" si="75"/>
        <v>12060</v>
      </c>
      <c r="F282" s="184" t="str">
        <f t="shared" si="73"/>
        <v/>
      </c>
      <c r="G282" s="185" t="str">
        <f t="shared" si="74"/>
        <v/>
      </c>
    </row>
    <row r="283" spans="2:7" ht="15.6" thickBot="1" x14ac:dyDescent="0.3">
      <c r="B283" s="190" t="s">
        <v>411</v>
      </c>
      <c r="C283" s="197">
        <f t="shared" si="71"/>
        <v>10</v>
      </c>
      <c r="D283" s="198">
        <f t="shared" si="72"/>
        <v>40.200000000000003</v>
      </c>
      <c r="E283" s="198">
        <f t="shared" si="75"/>
        <v>402</v>
      </c>
      <c r="F283" s="198" t="str">
        <f t="shared" si="73"/>
        <v/>
      </c>
      <c r="G283" s="186" t="str">
        <f t="shared" si="74"/>
        <v/>
      </c>
    </row>
    <row r="284" spans="2:7" ht="13.8" thickBot="1" x14ac:dyDescent="0.3">
      <c r="B284" s="15" t="s">
        <v>186</v>
      </c>
      <c r="C284" s="20"/>
      <c r="D284" s="20"/>
      <c r="E284" s="20"/>
      <c r="F284" s="20"/>
      <c r="G284" s="14"/>
    </row>
    <row r="286" spans="2:7" ht="15.6" thickBot="1" x14ac:dyDescent="0.3">
      <c r="B286" s="29" t="s">
        <v>609</v>
      </c>
      <c r="C286" s="24"/>
    </row>
    <row r="287" spans="2:7" ht="93" thickBot="1" x14ac:dyDescent="0.3">
      <c r="B287" s="34" t="s">
        <v>21</v>
      </c>
      <c r="C287" s="40" t="s">
        <v>139</v>
      </c>
      <c r="D287" s="38" t="s">
        <v>161</v>
      </c>
      <c r="E287" s="42" t="s">
        <v>162</v>
      </c>
      <c r="F287" s="42" t="s">
        <v>163</v>
      </c>
      <c r="G287" s="39" t="s">
        <v>164</v>
      </c>
    </row>
    <row r="288" spans="2:7" ht="15" x14ac:dyDescent="0.25">
      <c r="B288" s="187" t="s">
        <v>399</v>
      </c>
      <c r="C288" s="201">
        <f t="shared" ref="C288:C310" si="81">VLOOKUP(B288,Fisheries,2,FALSE)</f>
        <v>10</v>
      </c>
      <c r="D288" s="199">
        <f t="shared" ref="D288:D310" si="82">VLOOKUP(B288,fuelInfo,4,FALSE)</f>
        <v>44.3</v>
      </c>
      <c r="E288" s="199">
        <f>C288*D288</f>
        <v>443</v>
      </c>
      <c r="F288" s="199">
        <f t="shared" ref="F288:F310" si="83">IF(VLOOKUP(B288,Density_Config,2,FALSE)=0,"",VLOOKUP(B288,Density_Config,2,FALSE))</f>
        <v>0.70445880999999999</v>
      </c>
      <c r="G288" s="200">
        <f t="shared" ref="G288:G310" si="84">IFERROR((E288/1000000000)*F288,"")</f>
        <v>3.1207525282999997E-7</v>
      </c>
    </row>
    <row r="289" spans="2:7" ht="15" x14ac:dyDescent="0.25">
      <c r="B289" s="188" t="s">
        <v>32</v>
      </c>
      <c r="C289" s="196">
        <f t="shared" si="81"/>
        <v>10</v>
      </c>
      <c r="D289" s="184">
        <f t="shared" si="82"/>
        <v>27</v>
      </c>
      <c r="E289" s="184">
        <f t="shared" ref="E289:E310" si="85">C289*D289</f>
        <v>270</v>
      </c>
      <c r="F289" s="184" t="str">
        <f t="shared" si="83"/>
        <v/>
      </c>
      <c r="G289" s="185" t="str">
        <f t="shared" si="84"/>
        <v/>
      </c>
    </row>
    <row r="290" spans="2:7" ht="15" x14ac:dyDescent="0.25">
      <c r="B290" s="188" t="s">
        <v>31</v>
      </c>
      <c r="C290" s="196">
        <f t="shared" si="81"/>
        <v>10</v>
      </c>
      <c r="D290" s="184">
        <f t="shared" si="82"/>
        <v>27</v>
      </c>
      <c r="E290" s="184">
        <f t="shared" si="85"/>
        <v>270</v>
      </c>
      <c r="F290" s="184" t="str">
        <f t="shared" si="83"/>
        <v/>
      </c>
      <c r="G290" s="185" t="str">
        <f t="shared" si="84"/>
        <v/>
      </c>
    </row>
    <row r="291" spans="2:7" ht="15" x14ac:dyDescent="0.25">
      <c r="B291" s="188" t="s">
        <v>397</v>
      </c>
      <c r="C291" s="196">
        <f t="shared" si="81"/>
        <v>10</v>
      </c>
      <c r="D291" s="184">
        <f t="shared" si="82"/>
        <v>42.3</v>
      </c>
      <c r="E291" s="184">
        <f t="shared" si="85"/>
        <v>423</v>
      </c>
      <c r="F291" s="184">
        <f t="shared" si="83"/>
        <v>0.87345679012345701</v>
      </c>
      <c r="G291" s="185">
        <f t="shared" si="84"/>
        <v>3.6947222222222232E-7</v>
      </c>
    </row>
    <row r="292" spans="2:7" ht="15" x14ac:dyDescent="0.25">
      <c r="B292" s="188" t="s">
        <v>23</v>
      </c>
      <c r="C292" s="196">
        <f t="shared" si="81"/>
        <v>5</v>
      </c>
      <c r="D292" s="184">
        <f t="shared" si="82"/>
        <v>46.4</v>
      </c>
      <c r="E292" s="184">
        <f t="shared" si="85"/>
        <v>232</v>
      </c>
      <c r="F292" s="184" t="str">
        <f t="shared" si="83"/>
        <v/>
      </c>
      <c r="G292" s="185" t="str">
        <f t="shared" si="84"/>
        <v/>
      </c>
    </row>
    <row r="293" spans="2:7" ht="15" x14ac:dyDescent="0.25">
      <c r="B293" s="188" t="s">
        <v>384</v>
      </c>
      <c r="C293" s="196">
        <f t="shared" si="81"/>
        <v>10</v>
      </c>
      <c r="D293" s="184">
        <f t="shared" si="82"/>
        <v>43</v>
      </c>
      <c r="E293" s="184">
        <f t="shared" si="85"/>
        <v>430</v>
      </c>
      <c r="F293" s="184">
        <f t="shared" si="83"/>
        <v>0.91328052400000004</v>
      </c>
      <c r="G293" s="185">
        <f t="shared" si="84"/>
        <v>3.9271062532000001E-7</v>
      </c>
    </row>
    <row r="294" spans="2:7" ht="15" x14ac:dyDescent="0.25">
      <c r="B294" s="188" t="s">
        <v>425</v>
      </c>
      <c r="C294" s="196">
        <f t="shared" si="81"/>
        <v>10</v>
      </c>
      <c r="D294" s="184">
        <f t="shared" si="82"/>
        <v>44.3</v>
      </c>
      <c r="E294" s="184">
        <f t="shared" si="85"/>
        <v>443</v>
      </c>
      <c r="F294" s="184">
        <f t="shared" si="83"/>
        <v>0.70445880999999999</v>
      </c>
      <c r="G294" s="185">
        <f t="shared" si="84"/>
        <v>3.1207525282999997E-7</v>
      </c>
    </row>
    <row r="295" spans="2:7" ht="15" x14ac:dyDescent="0.25">
      <c r="B295" s="188" t="s">
        <v>400</v>
      </c>
      <c r="C295" s="196">
        <f t="shared" si="81"/>
        <v>10</v>
      </c>
      <c r="D295" s="184">
        <f t="shared" si="82"/>
        <v>44.1</v>
      </c>
      <c r="E295" s="184">
        <f t="shared" si="85"/>
        <v>441</v>
      </c>
      <c r="F295" s="184">
        <f t="shared" si="83"/>
        <v>0.81556195965417866</v>
      </c>
      <c r="G295" s="185">
        <f t="shared" si="84"/>
        <v>3.596628242074928E-7</v>
      </c>
    </row>
    <row r="296" spans="2:7" ht="15" x14ac:dyDescent="0.25">
      <c r="B296" s="188" t="s">
        <v>386</v>
      </c>
      <c r="C296" s="196">
        <f t="shared" si="81"/>
        <v>5</v>
      </c>
      <c r="D296" s="184">
        <f t="shared" si="82"/>
        <v>47.3</v>
      </c>
      <c r="E296" s="184">
        <f t="shared" si="85"/>
        <v>236.5</v>
      </c>
      <c r="F296" s="184">
        <f t="shared" si="83"/>
        <v>0.49354726194628523</v>
      </c>
      <c r="G296" s="185">
        <f t="shared" si="84"/>
        <v>1.1672392745029646E-7</v>
      </c>
    </row>
    <row r="297" spans="2:7" ht="15" x14ac:dyDescent="0.25">
      <c r="B297" s="188" t="s">
        <v>26</v>
      </c>
      <c r="C297" s="196">
        <f t="shared" si="81"/>
        <v>10</v>
      </c>
      <c r="D297" s="184">
        <f t="shared" si="82"/>
        <v>40.200000000000003</v>
      </c>
      <c r="E297" s="184">
        <f t="shared" si="85"/>
        <v>402</v>
      </c>
      <c r="F297" s="184">
        <f t="shared" si="83"/>
        <v>0.89818497799999997</v>
      </c>
      <c r="G297" s="185">
        <f t="shared" si="84"/>
        <v>3.6107036115599999E-7</v>
      </c>
    </row>
    <row r="298" spans="2:7" ht="15" x14ac:dyDescent="0.25">
      <c r="B298" s="188" t="s">
        <v>398</v>
      </c>
      <c r="C298" s="196">
        <f t="shared" si="81"/>
        <v>10</v>
      </c>
      <c r="D298" s="184">
        <f t="shared" si="82"/>
        <v>44.3</v>
      </c>
      <c r="E298" s="184">
        <f t="shared" si="85"/>
        <v>443</v>
      </c>
      <c r="F298" s="184">
        <f t="shared" si="83"/>
        <v>0.74534257599999998</v>
      </c>
      <c r="G298" s="185">
        <f t="shared" si="84"/>
        <v>3.3018676116799996E-7</v>
      </c>
    </row>
    <row r="299" spans="2:7" ht="15" x14ac:dyDescent="0.25">
      <c r="B299" s="188" t="s">
        <v>24</v>
      </c>
      <c r="C299" s="196">
        <f t="shared" si="81"/>
        <v>10</v>
      </c>
      <c r="D299" s="184">
        <f t="shared" si="82"/>
        <v>44.5</v>
      </c>
      <c r="E299" s="184">
        <f t="shared" si="85"/>
        <v>445</v>
      </c>
      <c r="F299" s="184">
        <f t="shared" si="83"/>
        <v>0.72836008699999999</v>
      </c>
      <c r="G299" s="185">
        <f t="shared" si="84"/>
        <v>3.2412023871499998E-7</v>
      </c>
    </row>
    <row r="300" spans="2:7" ht="15" x14ac:dyDescent="0.25">
      <c r="B300" s="188" t="s">
        <v>406</v>
      </c>
      <c r="C300" s="196">
        <f t="shared" si="81"/>
        <v>10</v>
      </c>
      <c r="D300" s="184">
        <f t="shared" si="82"/>
        <v>44.2</v>
      </c>
      <c r="E300" s="184">
        <f t="shared" si="85"/>
        <v>442</v>
      </c>
      <c r="F300" s="184" t="str">
        <f t="shared" si="83"/>
        <v/>
      </c>
      <c r="G300" s="185" t="str">
        <f t="shared" si="84"/>
        <v/>
      </c>
    </row>
    <row r="301" spans="2:7" ht="15" x14ac:dyDescent="0.25">
      <c r="B301" s="188" t="s">
        <v>22</v>
      </c>
      <c r="C301" s="196">
        <f t="shared" ref="C301" si="86">VLOOKUP(B301,Fisheries,2,FALSE)</f>
        <v>10</v>
      </c>
      <c r="D301" s="184">
        <f t="shared" ref="D301" si="87">VLOOKUP(B301,fuelInfo,4,FALSE)</f>
        <v>27.5</v>
      </c>
      <c r="E301" s="184">
        <f t="shared" ref="E301" si="88">C301*D301</f>
        <v>275</v>
      </c>
      <c r="F301" s="184" t="str">
        <f t="shared" ref="F301" si="89">IF(VLOOKUP(B301,Density_Config,2,FALSE)=0,"",VLOOKUP(B301,Density_Config,2,FALSE))</f>
        <v/>
      </c>
      <c r="G301" s="185" t="str">
        <f t="shared" ref="G301" si="90">IFERROR((E301/1000000000)*F301,"")</f>
        <v/>
      </c>
    </row>
    <row r="302" spans="2:7" ht="15" x14ac:dyDescent="0.25">
      <c r="B302" s="188" t="s">
        <v>401</v>
      </c>
      <c r="C302" s="196">
        <f t="shared" si="81"/>
        <v>10</v>
      </c>
      <c r="D302" s="184">
        <f t="shared" si="82"/>
        <v>43.8</v>
      </c>
      <c r="E302" s="184">
        <f t="shared" si="85"/>
        <v>438</v>
      </c>
      <c r="F302" s="184">
        <f t="shared" si="83"/>
        <v>0.84832134292565942</v>
      </c>
      <c r="G302" s="185">
        <f t="shared" si="84"/>
        <v>3.7156474820143883E-7</v>
      </c>
    </row>
    <row r="303" spans="2:7" ht="15" x14ac:dyDescent="0.25">
      <c r="B303" s="188" t="s">
        <v>422</v>
      </c>
      <c r="C303" s="196">
        <f t="shared" si="81"/>
        <v>10</v>
      </c>
      <c r="D303" s="184">
        <f t="shared" si="82"/>
        <v>27.4</v>
      </c>
      <c r="E303" s="184">
        <f t="shared" si="85"/>
        <v>274</v>
      </c>
      <c r="F303" s="184" t="str">
        <f t="shared" si="83"/>
        <v/>
      </c>
      <c r="G303" s="185" t="str">
        <f t="shared" si="84"/>
        <v/>
      </c>
    </row>
    <row r="304" spans="2:7" ht="15" x14ac:dyDescent="0.25">
      <c r="B304" s="188" t="s">
        <v>409</v>
      </c>
      <c r="C304" s="196">
        <f t="shared" si="81"/>
        <v>5</v>
      </c>
      <c r="D304" s="184">
        <f t="shared" si="82"/>
        <v>49.5</v>
      </c>
      <c r="E304" s="184">
        <f t="shared" si="85"/>
        <v>247.5</v>
      </c>
      <c r="F304" s="184" t="str">
        <f t="shared" si="83"/>
        <v/>
      </c>
      <c r="G304" s="185" t="str">
        <f t="shared" si="84"/>
        <v/>
      </c>
    </row>
    <row r="305" spans="2:7" ht="15" x14ac:dyDescent="0.25">
      <c r="B305" s="188" t="s">
        <v>408</v>
      </c>
      <c r="C305" s="196">
        <f t="shared" si="81"/>
        <v>10</v>
      </c>
      <c r="D305" s="184">
        <f t="shared" si="82"/>
        <v>43</v>
      </c>
      <c r="E305" s="184">
        <f t="shared" si="85"/>
        <v>430</v>
      </c>
      <c r="F305" s="184" t="str">
        <f t="shared" si="83"/>
        <v/>
      </c>
      <c r="G305" s="185" t="str">
        <f t="shared" si="84"/>
        <v/>
      </c>
    </row>
    <row r="306" spans="2:7" ht="15" x14ac:dyDescent="0.25">
      <c r="B306" s="188" t="s">
        <v>385</v>
      </c>
      <c r="C306" s="196">
        <f t="shared" si="81"/>
        <v>10</v>
      </c>
      <c r="D306" s="184">
        <f t="shared" si="82"/>
        <v>40.4</v>
      </c>
      <c r="E306" s="184">
        <f t="shared" si="85"/>
        <v>404</v>
      </c>
      <c r="F306" s="184">
        <f t="shared" si="83"/>
        <v>0.96108308600000003</v>
      </c>
      <c r="G306" s="185">
        <f t="shared" si="84"/>
        <v>3.8827756674400001E-7</v>
      </c>
    </row>
    <row r="307" spans="2:7" ht="15" x14ac:dyDescent="0.25">
      <c r="B307" s="188" t="s">
        <v>383</v>
      </c>
      <c r="C307" s="196">
        <f t="shared" si="81"/>
        <v>10</v>
      </c>
      <c r="D307" s="184">
        <f t="shared" si="82"/>
        <v>38.1</v>
      </c>
      <c r="E307" s="184">
        <f t="shared" si="85"/>
        <v>381</v>
      </c>
      <c r="F307" s="184" t="str">
        <f t="shared" si="83"/>
        <v/>
      </c>
      <c r="G307" s="185" t="str">
        <f t="shared" si="84"/>
        <v/>
      </c>
    </row>
    <row r="308" spans="2:7" ht="15" x14ac:dyDescent="0.25">
      <c r="B308" s="189" t="s">
        <v>613</v>
      </c>
      <c r="C308" s="196">
        <f t="shared" si="81"/>
        <v>3</v>
      </c>
      <c r="D308" s="184">
        <f t="shared" si="82"/>
        <v>11.8</v>
      </c>
      <c r="E308" s="184">
        <f t="shared" si="85"/>
        <v>35.400000000000006</v>
      </c>
      <c r="F308" s="184" t="str">
        <f t="shared" si="83"/>
        <v/>
      </c>
      <c r="G308" s="185" t="str">
        <f t="shared" si="84"/>
        <v/>
      </c>
    </row>
    <row r="309" spans="2:7" ht="15" x14ac:dyDescent="0.25">
      <c r="B309" s="188" t="s">
        <v>420</v>
      </c>
      <c r="C309" s="196">
        <f t="shared" si="81"/>
        <v>300</v>
      </c>
      <c r="D309" s="184">
        <f t="shared" si="82"/>
        <v>40.200000000000003</v>
      </c>
      <c r="E309" s="184">
        <f t="shared" si="85"/>
        <v>12060</v>
      </c>
      <c r="F309" s="184" t="str">
        <f t="shared" si="83"/>
        <v/>
      </c>
      <c r="G309" s="185" t="str">
        <f t="shared" si="84"/>
        <v/>
      </c>
    </row>
    <row r="310" spans="2:7" ht="15.6" thickBot="1" x14ac:dyDescent="0.3">
      <c r="B310" s="190" t="s">
        <v>411</v>
      </c>
      <c r="C310" s="197">
        <f t="shared" si="81"/>
        <v>10</v>
      </c>
      <c r="D310" s="198">
        <f t="shared" si="82"/>
        <v>40.200000000000003</v>
      </c>
      <c r="E310" s="198">
        <f t="shared" si="85"/>
        <v>402</v>
      </c>
      <c r="F310" s="198" t="str">
        <f t="shared" si="83"/>
        <v/>
      </c>
      <c r="G310" s="186" t="str">
        <f t="shared" si="84"/>
        <v/>
      </c>
    </row>
    <row r="311" spans="2:7" ht="13.8" thickBot="1" x14ac:dyDescent="0.3">
      <c r="B311" s="15" t="s">
        <v>192</v>
      </c>
      <c r="C311" s="20"/>
      <c r="D311" s="20"/>
      <c r="E311" s="20"/>
      <c r="F311" s="20"/>
      <c r="G311" s="14"/>
    </row>
    <row r="313" spans="2:7" ht="13.8" thickBot="1" x14ac:dyDescent="0.3"/>
    <row r="314" spans="2:7" ht="89.25" customHeight="1" thickBot="1" x14ac:dyDescent="0.3">
      <c r="B314" s="684" t="s">
        <v>168</v>
      </c>
      <c r="C314" s="685"/>
      <c r="D314" s="685"/>
      <c r="E314" s="685"/>
      <c r="F314" s="685"/>
      <c r="G314" s="686"/>
    </row>
    <row r="316" spans="2:7" ht="13.8" thickBot="1" x14ac:dyDescent="0.3"/>
    <row r="317" spans="2:7" ht="39.6" x14ac:dyDescent="0.25">
      <c r="B317" s="30" t="s">
        <v>21</v>
      </c>
      <c r="C317" s="51" t="s">
        <v>139</v>
      </c>
      <c r="D317" s="33" t="s">
        <v>161</v>
      </c>
      <c r="E317" s="36" t="s">
        <v>162</v>
      </c>
      <c r="F317" s="33" t="s">
        <v>169</v>
      </c>
      <c r="G317" s="37" t="s">
        <v>247</v>
      </c>
    </row>
    <row r="318" spans="2:7" x14ac:dyDescent="0.25">
      <c r="B318" s="188" t="s">
        <v>415</v>
      </c>
      <c r="C318" s="184">
        <f t="shared" ref="C318:C325" si="91">VLOOKUP(B318,Energy,2,FALSE)</f>
        <v>1</v>
      </c>
      <c r="D318" s="184">
        <f t="shared" ref="D318:D325" si="92">VLOOKUP(B318,fuelInfo,4,FALSE)</f>
        <v>38.700000000000003</v>
      </c>
      <c r="E318" s="184">
        <f>C318*D318</f>
        <v>38.700000000000003</v>
      </c>
      <c r="F318" s="184" t="str">
        <f t="shared" ref="F318:F325" si="93">IF(VLOOKUP(B318,Density_Config,2,FALSE)=0,"",VLOOKUP(B318,Density_Config,2,FALSE))</f>
        <v/>
      </c>
      <c r="G318" s="185" t="str">
        <f>IFERROR((E318/1000000000)*F318,"")</f>
        <v/>
      </c>
    </row>
    <row r="319" spans="2:7" x14ac:dyDescent="0.25">
      <c r="B319" s="188" t="s">
        <v>416</v>
      </c>
      <c r="C319" s="184">
        <f t="shared" si="91"/>
        <v>1</v>
      </c>
      <c r="D319" s="184">
        <f t="shared" si="92"/>
        <v>38.700000000000003</v>
      </c>
      <c r="E319" s="184">
        <f t="shared" ref="E319:E325" si="94">C319*D319</f>
        <v>38.700000000000003</v>
      </c>
      <c r="F319" s="184" t="str">
        <f t="shared" si="93"/>
        <v/>
      </c>
      <c r="G319" s="185" t="str">
        <f t="shared" ref="G319:G325" si="95">IFERROR((E319/1000000000)*F319,"")</f>
        <v/>
      </c>
    </row>
    <row r="320" spans="2:7" x14ac:dyDescent="0.25">
      <c r="B320" s="188" t="s">
        <v>417</v>
      </c>
      <c r="C320" s="184">
        <f t="shared" si="91"/>
        <v>1</v>
      </c>
      <c r="D320" s="184">
        <f t="shared" si="92"/>
        <v>2.4700000000000002</v>
      </c>
      <c r="E320" s="184">
        <f t="shared" si="94"/>
        <v>2.4700000000000002</v>
      </c>
      <c r="F320" s="184" t="str">
        <f t="shared" si="93"/>
        <v/>
      </c>
      <c r="G320" s="185" t="str">
        <f t="shared" si="95"/>
        <v/>
      </c>
    </row>
    <row r="321" spans="2:7" x14ac:dyDescent="0.25">
      <c r="B321" s="188" t="s">
        <v>418</v>
      </c>
      <c r="C321" s="184">
        <f t="shared" si="91"/>
        <v>1</v>
      </c>
      <c r="D321" s="184">
        <f t="shared" si="92"/>
        <v>7.06</v>
      </c>
      <c r="E321" s="184">
        <f t="shared" si="94"/>
        <v>7.06</v>
      </c>
      <c r="F321" s="184" t="str">
        <f t="shared" si="93"/>
        <v/>
      </c>
      <c r="G321" s="185" t="str">
        <f t="shared" si="95"/>
        <v/>
      </c>
    </row>
    <row r="322" spans="2:7" x14ac:dyDescent="0.25">
      <c r="B322" s="188" t="s">
        <v>393</v>
      </c>
      <c r="C322" s="184">
        <f t="shared" si="91"/>
        <v>1</v>
      </c>
      <c r="D322" s="184">
        <f t="shared" si="92"/>
        <v>48</v>
      </c>
      <c r="E322" s="184">
        <f t="shared" si="94"/>
        <v>48</v>
      </c>
      <c r="F322" s="184">
        <f t="shared" si="93"/>
        <v>0.7</v>
      </c>
      <c r="G322" s="185">
        <f t="shared" si="95"/>
        <v>3.3599999999999996E-8</v>
      </c>
    </row>
    <row r="323" spans="2:7" x14ac:dyDescent="0.25">
      <c r="B323" s="188" t="s">
        <v>395</v>
      </c>
      <c r="C323" s="184">
        <f t="shared" si="91"/>
        <v>1</v>
      </c>
      <c r="D323" s="184">
        <f t="shared" si="92"/>
        <v>50.4</v>
      </c>
      <c r="E323" s="184">
        <f t="shared" si="94"/>
        <v>50.4</v>
      </c>
      <c r="F323" s="184" t="str">
        <f t="shared" si="93"/>
        <v/>
      </c>
      <c r="G323" s="185" t="str">
        <f t="shared" si="95"/>
        <v/>
      </c>
    </row>
    <row r="324" spans="2:7" x14ac:dyDescent="0.25">
      <c r="B324" s="188" t="s">
        <v>423</v>
      </c>
      <c r="C324" s="184">
        <f t="shared" si="91"/>
        <v>1</v>
      </c>
      <c r="D324" s="184">
        <f t="shared" si="92"/>
        <v>50.4</v>
      </c>
      <c r="E324" s="184">
        <f t="shared" si="94"/>
        <v>50.4</v>
      </c>
      <c r="F324" s="184" t="str">
        <f t="shared" si="93"/>
        <v/>
      </c>
      <c r="G324" s="185" t="str">
        <f t="shared" si="95"/>
        <v/>
      </c>
    </row>
    <row r="325" spans="2:7" ht="13.8" thickBot="1" x14ac:dyDescent="0.3">
      <c r="B325" s="190" t="s">
        <v>424</v>
      </c>
      <c r="C325" s="198">
        <f t="shared" si="91"/>
        <v>1</v>
      </c>
      <c r="D325" s="198">
        <f t="shared" si="92"/>
        <v>50.4</v>
      </c>
      <c r="E325" s="198">
        <f t="shared" si="94"/>
        <v>50.4</v>
      </c>
      <c r="F325" s="198" t="str">
        <f t="shared" si="93"/>
        <v/>
      </c>
      <c r="G325" s="186" t="str">
        <f t="shared" si="95"/>
        <v/>
      </c>
    </row>
    <row r="326" spans="2:7" ht="13.8" thickBot="1" x14ac:dyDescent="0.3">
      <c r="B326" s="4" t="s">
        <v>217</v>
      </c>
      <c r="C326" s="5"/>
      <c r="D326" s="5"/>
      <c r="E326" s="5"/>
      <c r="F326" s="5"/>
      <c r="G326" s="6"/>
    </row>
    <row r="328" spans="2:7" ht="13.8" thickBot="1" x14ac:dyDescent="0.3">
      <c r="B328" t="s">
        <v>171</v>
      </c>
    </row>
    <row r="329" spans="2:7" ht="40.200000000000003" thickBot="1" x14ac:dyDescent="0.3">
      <c r="B329" s="30" t="s">
        <v>21</v>
      </c>
      <c r="C329" s="51" t="s">
        <v>139</v>
      </c>
      <c r="D329" s="36" t="s">
        <v>161</v>
      </c>
      <c r="E329" s="33" t="s">
        <v>162</v>
      </c>
      <c r="F329" s="42" t="s">
        <v>169</v>
      </c>
      <c r="G329" s="37" t="s">
        <v>247</v>
      </c>
    </row>
    <row r="330" spans="2:7" x14ac:dyDescent="0.25">
      <c r="B330" s="188" t="s">
        <v>415</v>
      </c>
      <c r="C330" s="184">
        <f t="shared" ref="C330:C337" si="96">VLOOKUP(B330,Manufacturing,2,FALSE)</f>
        <v>1</v>
      </c>
      <c r="D330" s="184">
        <f t="shared" ref="D330:D337" si="97">VLOOKUP(B330,fuelInfo,4,FALSE)</f>
        <v>38.700000000000003</v>
      </c>
      <c r="E330" s="184">
        <f>C330*D330</f>
        <v>38.700000000000003</v>
      </c>
      <c r="F330" s="184" t="str">
        <f t="shared" ref="F330:F337" si="98">IF(VLOOKUP(B330,Density_Config,2,FALSE)=0,"",VLOOKUP(B330,Density_Config,2,FALSE))</f>
        <v/>
      </c>
      <c r="G330" s="185" t="str">
        <f>IFERROR((E330/1000000000)*F330,"")</f>
        <v/>
      </c>
    </row>
    <row r="331" spans="2:7" x14ac:dyDescent="0.25">
      <c r="B331" s="188" t="s">
        <v>416</v>
      </c>
      <c r="C331" s="184">
        <f t="shared" si="96"/>
        <v>1</v>
      </c>
      <c r="D331" s="184">
        <f t="shared" si="97"/>
        <v>38.700000000000003</v>
      </c>
      <c r="E331" s="184">
        <f t="shared" ref="E331:E337" si="99">C331*D331</f>
        <v>38.700000000000003</v>
      </c>
      <c r="F331" s="184" t="str">
        <f t="shared" si="98"/>
        <v/>
      </c>
      <c r="G331" s="185" t="str">
        <f t="shared" ref="G331:G337" si="100">IFERROR((E331/1000000000)*F331,"")</f>
        <v/>
      </c>
    </row>
    <row r="332" spans="2:7" x14ac:dyDescent="0.25">
      <c r="B332" s="188" t="s">
        <v>417</v>
      </c>
      <c r="C332" s="184">
        <f t="shared" si="96"/>
        <v>1</v>
      </c>
      <c r="D332" s="184">
        <f t="shared" si="97"/>
        <v>2.4700000000000002</v>
      </c>
      <c r="E332" s="184">
        <f t="shared" si="99"/>
        <v>2.4700000000000002</v>
      </c>
      <c r="F332" s="184" t="str">
        <f t="shared" si="98"/>
        <v/>
      </c>
      <c r="G332" s="185" t="str">
        <f t="shared" si="100"/>
        <v/>
      </c>
    </row>
    <row r="333" spans="2:7" x14ac:dyDescent="0.25">
      <c r="B333" s="188" t="s">
        <v>418</v>
      </c>
      <c r="C333" s="184">
        <f t="shared" si="96"/>
        <v>1</v>
      </c>
      <c r="D333" s="184">
        <f t="shared" si="97"/>
        <v>7.06</v>
      </c>
      <c r="E333" s="184">
        <f t="shared" si="99"/>
        <v>7.06</v>
      </c>
      <c r="F333" s="184" t="str">
        <f t="shared" si="98"/>
        <v/>
      </c>
      <c r="G333" s="185" t="str">
        <f t="shared" si="100"/>
        <v/>
      </c>
    </row>
    <row r="334" spans="2:7" x14ac:dyDescent="0.25">
      <c r="B334" s="188" t="s">
        <v>393</v>
      </c>
      <c r="C334" s="184">
        <f t="shared" si="96"/>
        <v>1</v>
      </c>
      <c r="D334" s="184">
        <f t="shared" si="97"/>
        <v>48</v>
      </c>
      <c r="E334" s="184">
        <f t="shared" si="99"/>
        <v>48</v>
      </c>
      <c r="F334" s="184">
        <f t="shared" si="98"/>
        <v>0.7</v>
      </c>
      <c r="G334" s="185">
        <f t="shared" si="100"/>
        <v>3.3599999999999996E-8</v>
      </c>
    </row>
    <row r="335" spans="2:7" x14ac:dyDescent="0.25">
      <c r="B335" s="188" t="s">
        <v>395</v>
      </c>
      <c r="C335" s="184">
        <f t="shared" si="96"/>
        <v>1</v>
      </c>
      <c r="D335" s="184">
        <f t="shared" si="97"/>
        <v>50.4</v>
      </c>
      <c r="E335" s="184">
        <f t="shared" si="99"/>
        <v>50.4</v>
      </c>
      <c r="F335" s="184" t="str">
        <f t="shared" si="98"/>
        <v/>
      </c>
      <c r="G335" s="185" t="str">
        <f t="shared" si="100"/>
        <v/>
      </c>
    </row>
    <row r="336" spans="2:7" x14ac:dyDescent="0.25">
      <c r="B336" s="188" t="s">
        <v>423</v>
      </c>
      <c r="C336" s="184">
        <f t="shared" si="96"/>
        <v>1</v>
      </c>
      <c r="D336" s="184">
        <f t="shared" si="97"/>
        <v>50.4</v>
      </c>
      <c r="E336" s="184">
        <f t="shared" si="99"/>
        <v>50.4</v>
      </c>
      <c r="F336" s="184" t="str">
        <f t="shared" si="98"/>
        <v/>
      </c>
      <c r="G336" s="185" t="str">
        <f t="shared" si="100"/>
        <v/>
      </c>
    </row>
    <row r="337" spans="2:7" ht="13.8" thickBot="1" x14ac:dyDescent="0.3">
      <c r="B337" s="190" t="s">
        <v>424</v>
      </c>
      <c r="C337" s="198">
        <f t="shared" si="96"/>
        <v>1</v>
      </c>
      <c r="D337" s="198">
        <f t="shared" si="97"/>
        <v>50.4</v>
      </c>
      <c r="E337" s="198">
        <f t="shared" si="99"/>
        <v>50.4</v>
      </c>
      <c r="F337" s="198" t="str">
        <f t="shared" si="98"/>
        <v/>
      </c>
      <c r="G337" s="186" t="str">
        <f t="shared" si="100"/>
        <v/>
      </c>
    </row>
    <row r="338" spans="2:7" ht="13.8" thickBot="1" x14ac:dyDescent="0.3">
      <c r="B338" s="4" t="s">
        <v>218</v>
      </c>
      <c r="C338" s="5"/>
      <c r="D338" s="5"/>
      <c r="E338" s="5"/>
      <c r="F338" s="5"/>
      <c r="G338" s="6"/>
    </row>
    <row r="340" spans="2:7" ht="13.8" thickBot="1" x14ac:dyDescent="0.3">
      <c r="B340" t="s">
        <v>172</v>
      </c>
    </row>
    <row r="341" spans="2:7" ht="39.6" x14ac:dyDescent="0.25">
      <c r="B341" s="30" t="s">
        <v>21</v>
      </c>
      <c r="C341" s="51" t="s">
        <v>139</v>
      </c>
      <c r="D341" s="36" t="s">
        <v>161</v>
      </c>
      <c r="E341" s="33" t="s">
        <v>162</v>
      </c>
      <c r="F341" s="33" t="s">
        <v>169</v>
      </c>
      <c r="G341" s="37" t="s">
        <v>247</v>
      </c>
    </row>
    <row r="342" spans="2:7" x14ac:dyDescent="0.25">
      <c r="B342" s="191" t="s">
        <v>415</v>
      </c>
      <c r="C342" s="184">
        <f t="shared" ref="C342:C349" si="101">VLOOKUP(B342,Construction,2,FALSE)</f>
        <v>1</v>
      </c>
      <c r="D342" s="184">
        <f t="shared" ref="D342:D349" si="102">VLOOKUP(B342,fuelInfo,4,FALSE)</f>
        <v>38.700000000000003</v>
      </c>
      <c r="E342" s="184">
        <f>C342*D342</f>
        <v>38.700000000000003</v>
      </c>
      <c r="F342" s="184" t="str">
        <f t="shared" ref="F342:F349" si="103">IF(VLOOKUP(B342,Density_Config,2,FALSE)=0,"",VLOOKUP(B342,Density_Config,2,FALSE))</f>
        <v/>
      </c>
      <c r="G342" s="185" t="str">
        <f>IFERROR((E342/1000000000)*F342,"")</f>
        <v/>
      </c>
    </row>
    <row r="343" spans="2:7" x14ac:dyDescent="0.25">
      <c r="B343" s="191" t="s">
        <v>416</v>
      </c>
      <c r="C343" s="184">
        <f t="shared" si="101"/>
        <v>1</v>
      </c>
      <c r="D343" s="184">
        <f t="shared" si="102"/>
        <v>38.700000000000003</v>
      </c>
      <c r="E343" s="184">
        <f t="shared" ref="E343:E349" si="104">C343*D343</f>
        <v>38.700000000000003</v>
      </c>
      <c r="F343" s="184" t="str">
        <f t="shared" si="103"/>
        <v/>
      </c>
      <c r="G343" s="185" t="str">
        <f t="shared" ref="G343:G349" si="105">IFERROR((E343/1000000000)*F343,"")</f>
        <v/>
      </c>
    </row>
    <row r="344" spans="2:7" x14ac:dyDescent="0.25">
      <c r="B344" s="191" t="s">
        <v>417</v>
      </c>
      <c r="C344" s="184">
        <f t="shared" si="101"/>
        <v>1</v>
      </c>
      <c r="D344" s="184">
        <f t="shared" si="102"/>
        <v>2.4700000000000002</v>
      </c>
      <c r="E344" s="184">
        <f t="shared" si="104"/>
        <v>2.4700000000000002</v>
      </c>
      <c r="F344" s="184" t="str">
        <f t="shared" si="103"/>
        <v/>
      </c>
      <c r="G344" s="185" t="str">
        <f t="shared" si="105"/>
        <v/>
      </c>
    </row>
    <row r="345" spans="2:7" x14ac:dyDescent="0.25">
      <c r="B345" s="191" t="s">
        <v>418</v>
      </c>
      <c r="C345" s="184">
        <f t="shared" si="101"/>
        <v>1</v>
      </c>
      <c r="D345" s="184">
        <f t="shared" si="102"/>
        <v>7.06</v>
      </c>
      <c r="E345" s="184">
        <f t="shared" si="104"/>
        <v>7.06</v>
      </c>
      <c r="F345" s="184" t="str">
        <f t="shared" si="103"/>
        <v/>
      </c>
      <c r="G345" s="185" t="str">
        <f t="shared" si="105"/>
        <v/>
      </c>
    </row>
    <row r="346" spans="2:7" x14ac:dyDescent="0.25">
      <c r="B346" s="191" t="s">
        <v>393</v>
      </c>
      <c r="C346" s="184">
        <f t="shared" si="101"/>
        <v>1</v>
      </c>
      <c r="D346" s="184">
        <f t="shared" si="102"/>
        <v>48</v>
      </c>
      <c r="E346" s="184">
        <f t="shared" si="104"/>
        <v>48</v>
      </c>
      <c r="F346" s="184">
        <f t="shared" si="103"/>
        <v>0.7</v>
      </c>
      <c r="G346" s="185">
        <f t="shared" si="105"/>
        <v>3.3599999999999996E-8</v>
      </c>
    </row>
    <row r="347" spans="2:7" x14ac:dyDescent="0.25">
      <c r="B347" s="191" t="s">
        <v>395</v>
      </c>
      <c r="C347" s="184">
        <f t="shared" si="101"/>
        <v>1</v>
      </c>
      <c r="D347" s="184">
        <f t="shared" si="102"/>
        <v>50.4</v>
      </c>
      <c r="E347" s="184">
        <f t="shared" si="104"/>
        <v>50.4</v>
      </c>
      <c r="F347" s="184" t="str">
        <f t="shared" si="103"/>
        <v/>
      </c>
      <c r="G347" s="185" t="str">
        <f t="shared" si="105"/>
        <v/>
      </c>
    </row>
    <row r="348" spans="2:7" x14ac:dyDescent="0.25">
      <c r="B348" s="191" t="s">
        <v>423</v>
      </c>
      <c r="C348" s="184">
        <f t="shared" si="101"/>
        <v>1</v>
      </c>
      <c r="D348" s="184">
        <f t="shared" si="102"/>
        <v>50.4</v>
      </c>
      <c r="E348" s="184">
        <f t="shared" si="104"/>
        <v>50.4</v>
      </c>
      <c r="F348" s="184" t="str">
        <f t="shared" si="103"/>
        <v/>
      </c>
      <c r="G348" s="185" t="str">
        <f t="shared" si="105"/>
        <v/>
      </c>
    </row>
    <row r="349" spans="2:7" ht="13.8" thickBot="1" x14ac:dyDescent="0.3">
      <c r="B349" s="192" t="s">
        <v>424</v>
      </c>
      <c r="C349" s="184">
        <f t="shared" si="101"/>
        <v>1</v>
      </c>
      <c r="D349" s="184">
        <f t="shared" si="102"/>
        <v>50.4</v>
      </c>
      <c r="E349" s="184">
        <f t="shared" si="104"/>
        <v>50.4</v>
      </c>
      <c r="F349" s="198" t="str">
        <f t="shared" si="103"/>
        <v/>
      </c>
      <c r="G349" s="186" t="str">
        <f t="shared" si="105"/>
        <v/>
      </c>
    </row>
    <row r="350" spans="2:7" ht="13.8" thickBot="1" x14ac:dyDescent="0.3">
      <c r="B350" s="4" t="s">
        <v>219</v>
      </c>
      <c r="C350" s="5"/>
      <c r="D350" s="5"/>
      <c r="E350" s="5"/>
      <c r="F350" s="5"/>
      <c r="G350" s="6"/>
    </row>
    <row r="352" spans="2:7" ht="13.8" thickBot="1" x14ac:dyDescent="0.3">
      <c r="B352" t="s">
        <v>173</v>
      </c>
    </row>
    <row r="353" spans="2:7" ht="39.6" x14ac:dyDescent="0.25">
      <c r="B353" s="30" t="s">
        <v>21</v>
      </c>
      <c r="C353" s="51" t="s">
        <v>139</v>
      </c>
      <c r="D353" s="36" t="s">
        <v>161</v>
      </c>
      <c r="E353" s="33" t="s">
        <v>162</v>
      </c>
      <c r="F353" s="33" t="s">
        <v>169</v>
      </c>
      <c r="G353" s="37" t="s">
        <v>247</v>
      </c>
    </row>
    <row r="354" spans="2:7" x14ac:dyDescent="0.25">
      <c r="B354" s="188" t="s">
        <v>415</v>
      </c>
      <c r="C354" s="184">
        <f t="shared" ref="C354:C361" si="106">VLOOKUP(B354,Commercial,2,FALSE)</f>
        <v>5</v>
      </c>
      <c r="D354" s="184">
        <f t="shared" ref="D354:D361" si="107">VLOOKUP(B354,fuelInfo,4,FALSE)</f>
        <v>38.700000000000003</v>
      </c>
      <c r="E354" s="184">
        <f>C354*D354</f>
        <v>193.5</v>
      </c>
      <c r="F354" s="184" t="str">
        <f t="shared" ref="F354:F361" si="108">IF(VLOOKUP(B354,Density_Config,2,FALSE)=0,"",VLOOKUP(B354,Density_Config,2,FALSE))</f>
        <v/>
      </c>
      <c r="G354" s="185" t="str">
        <f>IFERROR((E354/1000000000)*F354,"")</f>
        <v/>
      </c>
    </row>
    <row r="355" spans="2:7" x14ac:dyDescent="0.25">
      <c r="B355" s="188" t="s">
        <v>416</v>
      </c>
      <c r="C355" s="184">
        <f t="shared" si="106"/>
        <v>5</v>
      </c>
      <c r="D355" s="184">
        <f t="shared" si="107"/>
        <v>38.700000000000003</v>
      </c>
      <c r="E355" s="184">
        <f t="shared" ref="E355:E361" si="109">C355*D355</f>
        <v>193.5</v>
      </c>
      <c r="F355" s="184" t="str">
        <f t="shared" si="108"/>
        <v/>
      </c>
      <c r="G355" s="185" t="str">
        <f t="shared" ref="G355:G361" si="110">IFERROR((E355/1000000000)*F355,"")</f>
        <v/>
      </c>
    </row>
    <row r="356" spans="2:7" x14ac:dyDescent="0.25">
      <c r="B356" s="188" t="s">
        <v>417</v>
      </c>
      <c r="C356" s="184">
        <f t="shared" si="106"/>
        <v>5</v>
      </c>
      <c r="D356" s="184">
        <f t="shared" si="107"/>
        <v>2.4700000000000002</v>
      </c>
      <c r="E356" s="184">
        <f t="shared" si="109"/>
        <v>12.350000000000001</v>
      </c>
      <c r="F356" s="184" t="str">
        <f t="shared" si="108"/>
        <v/>
      </c>
      <c r="G356" s="185" t="str">
        <f t="shared" si="110"/>
        <v/>
      </c>
    </row>
    <row r="357" spans="2:7" x14ac:dyDescent="0.25">
      <c r="B357" s="188" t="s">
        <v>418</v>
      </c>
      <c r="C357" s="184">
        <f t="shared" si="106"/>
        <v>5</v>
      </c>
      <c r="D357" s="184">
        <f t="shared" si="107"/>
        <v>7.06</v>
      </c>
      <c r="E357" s="184">
        <f t="shared" si="109"/>
        <v>35.299999999999997</v>
      </c>
      <c r="F357" s="184" t="str">
        <f t="shared" si="108"/>
        <v/>
      </c>
      <c r="G357" s="185" t="str">
        <f t="shared" si="110"/>
        <v/>
      </c>
    </row>
    <row r="358" spans="2:7" x14ac:dyDescent="0.25">
      <c r="B358" s="188" t="s">
        <v>393</v>
      </c>
      <c r="C358" s="184">
        <f t="shared" si="106"/>
        <v>5</v>
      </c>
      <c r="D358" s="184">
        <f t="shared" si="107"/>
        <v>48</v>
      </c>
      <c r="E358" s="184">
        <f t="shared" si="109"/>
        <v>240</v>
      </c>
      <c r="F358" s="184">
        <f t="shared" si="108"/>
        <v>0.7</v>
      </c>
      <c r="G358" s="185">
        <f t="shared" si="110"/>
        <v>1.6799999999999997E-7</v>
      </c>
    </row>
    <row r="359" spans="2:7" x14ac:dyDescent="0.25">
      <c r="B359" s="188" t="s">
        <v>395</v>
      </c>
      <c r="C359" s="184">
        <f t="shared" si="106"/>
        <v>5</v>
      </c>
      <c r="D359" s="184">
        <f t="shared" si="107"/>
        <v>50.4</v>
      </c>
      <c r="E359" s="184">
        <f t="shared" si="109"/>
        <v>252</v>
      </c>
      <c r="F359" s="184" t="str">
        <f t="shared" si="108"/>
        <v/>
      </c>
      <c r="G359" s="185" t="str">
        <f t="shared" si="110"/>
        <v/>
      </c>
    </row>
    <row r="360" spans="2:7" x14ac:dyDescent="0.25">
      <c r="B360" s="188" t="s">
        <v>423</v>
      </c>
      <c r="C360" s="184">
        <f t="shared" si="106"/>
        <v>5</v>
      </c>
      <c r="D360" s="184">
        <f t="shared" si="107"/>
        <v>50.4</v>
      </c>
      <c r="E360" s="184">
        <f t="shared" si="109"/>
        <v>252</v>
      </c>
      <c r="F360" s="184" t="str">
        <f t="shared" si="108"/>
        <v/>
      </c>
      <c r="G360" s="185" t="str">
        <f t="shared" si="110"/>
        <v/>
      </c>
    </row>
    <row r="361" spans="2:7" ht="13.8" thickBot="1" x14ac:dyDescent="0.3">
      <c r="B361" s="190" t="s">
        <v>424</v>
      </c>
      <c r="C361" s="198">
        <f t="shared" si="106"/>
        <v>5</v>
      </c>
      <c r="D361" s="198">
        <f t="shared" si="107"/>
        <v>50.4</v>
      </c>
      <c r="E361" s="198">
        <f t="shared" si="109"/>
        <v>252</v>
      </c>
      <c r="F361" s="198" t="str">
        <f t="shared" si="108"/>
        <v/>
      </c>
      <c r="G361" s="186" t="str">
        <f t="shared" si="110"/>
        <v/>
      </c>
    </row>
    <row r="362" spans="2:7" ht="13.8" thickBot="1" x14ac:dyDescent="0.3">
      <c r="B362" s="4" t="s">
        <v>220</v>
      </c>
      <c r="C362" s="5"/>
      <c r="D362" s="5"/>
      <c r="E362" s="5"/>
      <c r="F362" s="5"/>
      <c r="G362" s="6"/>
    </row>
    <row r="364" spans="2:7" ht="13.8" thickBot="1" x14ac:dyDescent="0.3">
      <c r="B364" t="s">
        <v>174</v>
      </c>
    </row>
    <row r="365" spans="2:7" ht="39.6" x14ac:dyDescent="0.25">
      <c r="B365" s="30" t="s">
        <v>21</v>
      </c>
      <c r="C365" s="51" t="s">
        <v>139</v>
      </c>
      <c r="D365" s="36" t="s">
        <v>161</v>
      </c>
      <c r="E365" s="33" t="s">
        <v>162</v>
      </c>
      <c r="F365" s="33" t="s">
        <v>169</v>
      </c>
      <c r="G365" s="37" t="s">
        <v>247</v>
      </c>
    </row>
    <row r="366" spans="2:7" x14ac:dyDescent="0.25">
      <c r="B366" s="188" t="s">
        <v>415</v>
      </c>
      <c r="C366" s="184">
        <f t="shared" ref="C366:C373" si="111">VLOOKUP(B366,Institutional,2,FALSE)</f>
        <v>5</v>
      </c>
      <c r="D366" s="184">
        <f t="shared" ref="D366:D373" si="112">VLOOKUP(B366,fuelInfo,4,FALSE)</f>
        <v>38.700000000000003</v>
      </c>
      <c r="E366" s="184">
        <f>C366*D366</f>
        <v>193.5</v>
      </c>
      <c r="F366" s="184" t="str">
        <f t="shared" ref="F366:F373" si="113">IF(VLOOKUP(B366,Density_Config,2,FALSE)=0,"",VLOOKUP(B366,Density_Config,2,FALSE))</f>
        <v/>
      </c>
      <c r="G366" s="185" t="str">
        <f>IFERROR((E366/1000000000)*F366,"")</f>
        <v/>
      </c>
    </row>
    <row r="367" spans="2:7" x14ac:dyDescent="0.25">
      <c r="B367" s="188" t="s">
        <v>416</v>
      </c>
      <c r="C367" s="184">
        <f t="shared" si="111"/>
        <v>5</v>
      </c>
      <c r="D367" s="184">
        <f t="shared" si="112"/>
        <v>38.700000000000003</v>
      </c>
      <c r="E367" s="184">
        <f t="shared" ref="E367:E373" si="114">C367*D367</f>
        <v>193.5</v>
      </c>
      <c r="F367" s="184" t="str">
        <f t="shared" si="113"/>
        <v/>
      </c>
      <c r="G367" s="185" t="str">
        <f t="shared" ref="G367:G373" si="115">IFERROR((E367/1000000000)*F367,"")</f>
        <v/>
      </c>
    </row>
    <row r="368" spans="2:7" x14ac:dyDescent="0.25">
      <c r="B368" s="188" t="s">
        <v>417</v>
      </c>
      <c r="C368" s="184">
        <f t="shared" si="111"/>
        <v>5</v>
      </c>
      <c r="D368" s="184">
        <f t="shared" si="112"/>
        <v>2.4700000000000002</v>
      </c>
      <c r="E368" s="184">
        <f t="shared" si="114"/>
        <v>12.350000000000001</v>
      </c>
      <c r="F368" s="184" t="str">
        <f t="shared" si="113"/>
        <v/>
      </c>
      <c r="G368" s="185" t="str">
        <f t="shared" si="115"/>
        <v/>
      </c>
    </row>
    <row r="369" spans="2:7" x14ac:dyDescent="0.25">
      <c r="B369" s="188" t="s">
        <v>418</v>
      </c>
      <c r="C369" s="184">
        <f t="shared" si="111"/>
        <v>5</v>
      </c>
      <c r="D369" s="184">
        <f t="shared" si="112"/>
        <v>7.06</v>
      </c>
      <c r="E369" s="184">
        <f t="shared" si="114"/>
        <v>35.299999999999997</v>
      </c>
      <c r="F369" s="184" t="str">
        <f t="shared" si="113"/>
        <v/>
      </c>
      <c r="G369" s="185" t="str">
        <f t="shared" si="115"/>
        <v/>
      </c>
    </row>
    <row r="370" spans="2:7" x14ac:dyDescent="0.25">
      <c r="B370" s="188" t="s">
        <v>393</v>
      </c>
      <c r="C370" s="184">
        <f t="shared" si="111"/>
        <v>5</v>
      </c>
      <c r="D370" s="184">
        <f t="shared" si="112"/>
        <v>48</v>
      </c>
      <c r="E370" s="184">
        <f t="shared" si="114"/>
        <v>240</v>
      </c>
      <c r="F370" s="184">
        <f t="shared" si="113"/>
        <v>0.7</v>
      </c>
      <c r="G370" s="185">
        <f t="shared" si="115"/>
        <v>1.6799999999999997E-7</v>
      </c>
    </row>
    <row r="371" spans="2:7" x14ac:dyDescent="0.25">
      <c r="B371" s="188" t="s">
        <v>395</v>
      </c>
      <c r="C371" s="184">
        <f t="shared" si="111"/>
        <v>5</v>
      </c>
      <c r="D371" s="184">
        <f t="shared" si="112"/>
        <v>50.4</v>
      </c>
      <c r="E371" s="184">
        <f t="shared" si="114"/>
        <v>252</v>
      </c>
      <c r="F371" s="184" t="str">
        <f t="shared" si="113"/>
        <v/>
      </c>
      <c r="G371" s="185" t="str">
        <f t="shared" si="115"/>
        <v/>
      </c>
    </row>
    <row r="372" spans="2:7" x14ac:dyDescent="0.25">
      <c r="B372" s="188" t="s">
        <v>423</v>
      </c>
      <c r="C372" s="184">
        <f t="shared" si="111"/>
        <v>5</v>
      </c>
      <c r="D372" s="184">
        <f t="shared" si="112"/>
        <v>50.4</v>
      </c>
      <c r="E372" s="184">
        <f t="shared" si="114"/>
        <v>252</v>
      </c>
      <c r="F372" s="184" t="str">
        <f t="shared" si="113"/>
        <v/>
      </c>
      <c r="G372" s="185" t="str">
        <f t="shared" si="115"/>
        <v/>
      </c>
    </row>
    <row r="373" spans="2:7" ht="13.8" thickBot="1" x14ac:dyDescent="0.3">
      <c r="B373" s="190" t="s">
        <v>424</v>
      </c>
      <c r="C373" s="198">
        <f t="shared" si="111"/>
        <v>5</v>
      </c>
      <c r="D373" s="198">
        <f t="shared" si="112"/>
        <v>50.4</v>
      </c>
      <c r="E373" s="198">
        <f t="shared" si="114"/>
        <v>252</v>
      </c>
      <c r="F373" s="198" t="str">
        <f t="shared" si="113"/>
        <v/>
      </c>
      <c r="G373" s="186" t="str">
        <f t="shared" si="115"/>
        <v/>
      </c>
    </row>
    <row r="374" spans="2:7" ht="13.8" thickBot="1" x14ac:dyDescent="0.3">
      <c r="B374" s="4" t="s">
        <v>221</v>
      </c>
      <c r="C374" s="5"/>
      <c r="D374" s="5"/>
      <c r="E374" s="5"/>
      <c r="F374" s="5"/>
      <c r="G374" s="6"/>
    </row>
    <row r="376" spans="2:7" ht="13.8" thickBot="1" x14ac:dyDescent="0.3">
      <c r="B376" t="s">
        <v>175</v>
      </c>
    </row>
    <row r="377" spans="2:7" ht="39.6" x14ac:dyDescent="0.25">
      <c r="B377" s="30" t="s">
        <v>21</v>
      </c>
      <c r="C377" s="51" t="s">
        <v>139</v>
      </c>
      <c r="D377" s="36" t="s">
        <v>161</v>
      </c>
      <c r="E377" s="33" t="s">
        <v>162</v>
      </c>
      <c r="F377" s="33" t="s">
        <v>169</v>
      </c>
      <c r="G377" s="37" t="s">
        <v>247</v>
      </c>
    </row>
    <row r="378" spans="2:7" x14ac:dyDescent="0.25">
      <c r="B378" s="188" t="s">
        <v>415</v>
      </c>
      <c r="C378" s="184">
        <f t="shared" ref="C378:C385" si="116">VLOOKUP(B378,Residential,2,FALSE)</f>
        <v>5</v>
      </c>
      <c r="D378" s="184">
        <f t="shared" ref="D378:D385" si="117">VLOOKUP(B378,fuelInfo,4,FALSE)</f>
        <v>38.700000000000003</v>
      </c>
      <c r="E378" s="184">
        <f>C378*D378</f>
        <v>193.5</v>
      </c>
      <c r="F378" s="184" t="str">
        <f t="shared" ref="F378:F385" si="118">IF(VLOOKUP(B378,Density_Config,2,FALSE)=0,"",VLOOKUP(B378,Density_Config,2,FALSE))</f>
        <v/>
      </c>
      <c r="G378" s="185" t="str">
        <f>IFERROR((E378/1000000000)*F378,"")</f>
        <v/>
      </c>
    </row>
    <row r="379" spans="2:7" x14ac:dyDescent="0.25">
      <c r="B379" s="188" t="s">
        <v>416</v>
      </c>
      <c r="C379" s="184">
        <f t="shared" si="116"/>
        <v>5</v>
      </c>
      <c r="D379" s="184">
        <f t="shared" si="117"/>
        <v>38.700000000000003</v>
      </c>
      <c r="E379" s="184">
        <f t="shared" ref="E379:E385" si="119">C379*D379</f>
        <v>193.5</v>
      </c>
      <c r="F379" s="184" t="str">
        <f t="shared" si="118"/>
        <v/>
      </c>
      <c r="G379" s="185" t="str">
        <f t="shared" ref="G379:G385" si="120">IFERROR((E379/1000000000)*F379,"")</f>
        <v/>
      </c>
    </row>
    <row r="380" spans="2:7" x14ac:dyDescent="0.25">
      <c r="B380" s="188" t="s">
        <v>417</v>
      </c>
      <c r="C380" s="184">
        <f t="shared" si="116"/>
        <v>5</v>
      </c>
      <c r="D380" s="184">
        <f t="shared" si="117"/>
        <v>2.4700000000000002</v>
      </c>
      <c r="E380" s="184">
        <f t="shared" si="119"/>
        <v>12.350000000000001</v>
      </c>
      <c r="F380" s="184" t="str">
        <f t="shared" si="118"/>
        <v/>
      </c>
      <c r="G380" s="185" t="str">
        <f t="shared" si="120"/>
        <v/>
      </c>
    </row>
    <row r="381" spans="2:7" x14ac:dyDescent="0.25">
      <c r="B381" s="188" t="s">
        <v>418</v>
      </c>
      <c r="C381" s="184">
        <f t="shared" si="116"/>
        <v>5</v>
      </c>
      <c r="D381" s="184">
        <f t="shared" si="117"/>
        <v>7.06</v>
      </c>
      <c r="E381" s="184">
        <f t="shared" si="119"/>
        <v>35.299999999999997</v>
      </c>
      <c r="F381" s="184" t="str">
        <f t="shared" si="118"/>
        <v/>
      </c>
      <c r="G381" s="185" t="str">
        <f t="shared" si="120"/>
        <v/>
      </c>
    </row>
    <row r="382" spans="2:7" x14ac:dyDescent="0.25">
      <c r="B382" s="188" t="s">
        <v>393</v>
      </c>
      <c r="C382" s="184">
        <f t="shared" si="116"/>
        <v>5</v>
      </c>
      <c r="D382" s="184">
        <f t="shared" si="117"/>
        <v>48</v>
      </c>
      <c r="E382" s="184">
        <f t="shared" si="119"/>
        <v>240</v>
      </c>
      <c r="F382" s="184">
        <f t="shared" si="118"/>
        <v>0.7</v>
      </c>
      <c r="G382" s="185">
        <f t="shared" si="120"/>
        <v>1.6799999999999997E-7</v>
      </c>
    </row>
    <row r="383" spans="2:7" x14ac:dyDescent="0.25">
      <c r="B383" s="188" t="s">
        <v>395</v>
      </c>
      <c r="C383" s="184">
        <f t="shared" si="116"/>
        <v>5</v>
      </c>
      <c r="D383" s="184">
        <f t="shared" si="117"/>
        <v>50.4</v>
      </c>
      <c r="E383" s="184">
        <f t="shared" si="119"/>
        <v>252</v>
      </c>
      <c r="F383" s="184" t="str">
        <f t="shared" si="118"/>
        <v/>
      </c>
      <c r="G383" s="185" t="str">
        <f t="shared" si="120"/>
        <v/>
      </c>
    </row>
    <row r="384" spans="2:7" x14ac:dyDescent="0.25">
      <c r="B384" s="188" t="s">
        <v>423</v>
      </c>
      <c r="C384" s="184">
        <f t="shared" si="116"/>
        <v>5</v>
      </c>
      <c r="D384" s="184">
        <f t="shared" si="117"/>
        <v>50.4</v>
      </c>
      <c r="E384" s="184">
        <f t="shared" si="119"/>
        <v>252</v>
      </c>
      <c r="F384" s="184" t="str">
        <f t="shared" si="118"/>
        <v/>
      </c>
      <c r="G384" s="185" t="str">
        <f t="shared" si="120"/>
        <v/>
      </c>
    </row>
    <row r="385" spans="2:7" ht="13.8" thickBot="1" x14ac:dyDescent="0.3">
      <c r="B385" s="190" t="s">
        <v>424</v>
      </c>
      <c r="C385" s="198">
        <f t="shared" si="116"/>
        <v>5</v>
      </c>
      <c r="D385" s="198">
        <f t="shared" si="117"/>
        <v>50.4</v>
      </c>
      <c r="E385" s="198">
        <f t="shared" si="119"/>
        <v>252</v>
      </c>
      <c r="F385" s="198" t="str">
        <f t="shared" si="118"/>
        <v/>
      </c>
      <c r="G385" s="186" t="str">
        <f t="shared" si="120"/>
        <v/>
      </c>
    </row>
    <row r="386" spans="2:7" ht="13.8" thickBot="1" x14ac:dyDescent="0.3">
      <c r="B386" s="4" t="s">
        <v>222</v>
      </c>
      <c r="C386" s="5"/>
      <c r="D386" s="5"/>
      <c r="E386" s="5"/>
      <c r="F386" s="5"/>
      <c r="G386" s="6"/>
    </row>
    <row r="388" spans="2:7" ht="13.8" thickBot="1" x14ac:dyDescent="0.3">
      <c r="B388" t="s">
        <v>176</v>
      </c>
    </row>
    <row r="389" spans="2:7" ht="40.200000000000003" thickBot="1" x14ac:dyDescent="0.3">
      <c r="B389" s="30" t="s">
        <v>21</v>
      </c>
      <c r="C389" s="51" t="s">
        <v>139</v>
      </c>
      <c r="D389" s="33" t="s">
        <v>161</v>
      </c>
      <c r="E389" s="45" t="s">
        <v>162</v>
      </c>
      <c r="F389" s="33" t="s">
        <v>169</v>
      </c>
      <c r="G389" s="37" t="s">
        <v>247</v>
      </c>
    </row>
    <row r="390" spans="2:7" ht="13.8" thickBot="1" x14ac:dyDescent="0.3">
      <c r="B390" s="188" t="s">
        <v>415</v>
      </c>
      <c r="C390" s="19">
        <f t="shared" ref="C390:C397" si="121">VLOOKUP(B390,Agriculture,2,FALSE)</f>
        <v>5</v>
      </c>
      <c r="D390" s="19">
        <f t="shared" ref="D390:D397" si="122">VLOOKUP(B390,fuelInfo,4,FALSE)</f>
        <v>38.700000000000003</v>
      </c>
      <c r="E390" s="18">
        <f>C390*D390</f>
        <v>193.5</v>
      </c>
      <c r="F390" s="184" t="str">
        <f t="shared" ref="F390:F397" si="123">IF(VLOOKUP(B390,Density_Config,2,FALSE)=0,"",VLOOKUP(B390,Density_Config,2,FALSE))</f>
        <v/>
      </c>
      <c r="G390" s="185" t="str">
        <f>IFERROR((E390/1000000000)*F390,"")</f>
        <v/>
      </c>
    </row>
    <row r="391" spans="2:7" ht="13.8" thickBot="1" x14ac:dyDescent="0.3">
      <c r="B391" s="188" t="s">
        <v>416</v>
      </c>
      <c r="C391" s="19">
        <f t="shared" si="121"/>
        <v>5</v>
      </c>
      <c r="D391" s="19">
        <f t="shared" si="122"/>
        <v>38.700000000000003</v>
      </c>
      <c r="E391" s="18">
        <f t="shared" ref="E391:E397" si="124">C391*D391</f>
        <v>193.5</v>
      </c>
      <c r="F391" s="184" t="str">
        <f t="shared" si="123"/>
        <v/>
      </c>
      <c r="G391" s="185" t="str">
        <f t="shared" ref="G391:G397" si="125">IFERROR((E391/1000000000)*F391,"")</f>
        <v/>
      </c>
    </row>
    <row r="392" spans="2:7" ht="13.8" thickBot="1" x14ac:dyDescent="0.3">
      <c r="B392" s="188" t="s">
        <v>417</v>
      </c>
      <c r="C392" s="19">
        <f t="shared" si="121"/>
        <v>5</v>
      </c>
      <c r="D392" s="19">
        <f t="shared" si="122"/>
        <v>2.4700000000000002</v>
      </c>
      <c r="E392" s="18">
        <f t="shared" si="124"/>
        <v>12.350000000000001</v>
      </c>
      <c r="F392" s="184" t="str">
        <f t="shared" si="123"/>
        <v/>
      </c>
      <c r="G392" s="185" t="str">
        <f t="shared" si="125"/>
        <v/>
      </c>
    </row>
    <row r="393" spans="2:7" ht="13.8" thickBot="1" x14ac:dyDescent="0.3">
      <c r="B393" s="188" t="s">
        <v>418</v>
      </c>
      <c r="C393" s="19">
        <f t="shared" si="121"/>
        <v>5</v>
      </c>
      <c r="D393" s="19">
        <f t="shared" si="122"/>
        <v>7.06</v>
      </c>
      <c r="E393" s="18">
        <f t="shared" si="124"/>
        <v>35.299999999999997</v>
      </c>
      <c r="F393" s="184" t="str">
        <f t="shared" si="123"/>
        <v/>
      </c>
      <c r="G393" s="185" t="str">
        <f t="shared" si="125"/>
        <v/>
      </c>
    </row>
    <row r="394" spans="2:7" ht="13.8" thickBot="1" x14ac:dyDescent="0.3">
      <c r="B394" s="188" t="s">
        <v>393</v>
      </c>
      <c r="C394" s="19">
        <f t="shared" si="121"/>
        <v>5</v>
      </c>
      <c r="D394" s="19">
        <f t="shared" si="122"/>
        <v>48</v>
      </c>
      <c r="E394" s="18">
        <f t="shared" si="124"/>
        <v>240</v>
      </c>
      <c r="F394" s="184">
        <f t="shared" si="123"/>
        <v>0.7</v>
      </c>
      <c r="G394" s="185">
        <f t="shared" si="125"/>
        <v>1.6799999999999997E-7</v>
      </c>
    </row>
    <row r="395" spans="2:7" ht="13.8" thickBot="1" x14ac:dyDescent="0.3">
      <c r="B395" s="188" t="s">
        <v>395</v>
      </c>
      <c r="C395" s="19">
        <f t="shared" si="121"/>
        <v>5</v>
      </c>
      <c r="D395" s="19">
        <f t="shared" si="122"/>
        <v>50.4</v>
      </c>
      <c r="E395" s="18">
        <f t="shared" si="124"/>
        <v>252</v>
      </c>
      <c r="F395" s="184" t="str">
        <f t="shared" si="123"/>
        <v/>
      </c>
      <c r="G395" s="185" t="str">
        <f t="shared" si="125"/>
        <v/>
      </c>
    </row>
    <row r="396" spans="2:7" ht="13.8" thickBot="1" x14ac:dyDescent="0.3">
      <c r="B396" s="188" t="s">
        <v>423</v>
      </c>
      <c r="C396" s="19">
        <f t="shared" si="121"/>
        <v>5</v>
      </c>
      <c r="D396" s="19">
        <f t="shared" si="122"/>
        <v>50.4</v>
      </c>
      <c r="E396" s="18">
        <f t="shared" si="124"/>
        <v>252</v>
      </c>
      <c r="F396" s="184" t="str">
        <f t="shared" si="123"/>
        <v/>
      </c>
      <c r="G396" s="185" t="str">
        <f t="shared" si="125"/>
        <v/>
      </c>
    </row>
    <row r="397" spans="2:7" ht="13.8" thickBot="1" x14ac:dyDescent="0.3">
      <c r="B397" s="190" t="s">
        <v>424</v>
      </c>
      <c r="C397" s="19">
        <f t="shared" si="121"/>
        <v>5</v>
      </c>
      <c r="D397" s="19">
        <f t="shared" si="122"/>
        <v>50.4</v>
      </c>
      <c r="E397" s="18">
        <f t="shared" si="124"/>
        <v>252</v>
      </c>
      <c r="F397" s="198" t="str">
        <f t="shared" si="123"/>
        <v/>
      </c>
      <c r="G397" s="186" t="str">
        <f t="shared" si="125"/>
        <v/>
      </c>
    </row>
    <row r="398" spans="2:7" ht="13.8" thickBot="1" x14ac:dyDescent="0.3">
      <c r="B398" s="15" t="s">
        <v>223</v>
      </c>
      <c r="C398" s="20"/>
      <c r="D398" s="20"/>
      <c r="E398" s="20"/>
      <c r="F398" s="20"/>
      <c r="G398" s="14"/>
    </row>
    <row r="400" spans="2:7" ht="13.8" thickBot="1" x14ac:dyDescent="0.3">
      <c r="B400" t="s">
        <v>177</v>
      </c>
    </row>
    <row r="401" spans="2:11" ht="39.6" x14ac:dyDescent="0.25">
      <c r="B401" s="30" t="s">
        <v>21</v>
      </c>
      <c r="C401" s="51" t="s">
        <v>139</v>
      </c>
      <c r="D401" s="36" t="s">
        <v>161</v>
      </c>
      <c r="E401" s="33" t="s">
        <v>162</v>
      </c>
      <c r="F401" s="33" t="s">
        <v>169</v>
      </c>
      <c r="G401" s="37" t="s">
        <v>247</v>
      </c>
    </row>
    <row r="402" spans="2:11" ht="13.8" thickBot="1" x14ac:dyDescent="0.3">
      <c r="B402" s="188" t="s">
        <v>415</v>
      </c>
      <c r="C402" s="184">
        <f t="shared" ref="C402:C409" si="126">VLOOKUP(B402,Forestry,2,FALSE)</f>
        <v>5</v>
      </c>
      <c r="D402" s="184">
        <f t="shared" ref="D402:D409" si="127">VLOOKUP(B402,fuelInfo,4,FALSE)</f>
        <v>38.700000000000003</v>
      </c>
      <c r="E402" s="184">
        <f>C402*D402</f>
        <v>193.5</v>
      </c>
      <c r="F402" s="184" t="str">
        <f t="shared" ref="F402:F409" si="128">IF(VLOOKUP(B402,Density_Config,2,FALSE)=0,"",VLOOKUP(B402,Density_Config,2,FALSE))</f>
        <v/>
      </c>
      <c r="G402" s="185" t="str">
        <f>IFERROR((E402/1000000000)*F402,"")</f>
        <v/>
      </c>
    </row>
    <row r="403" spans="2:11" ht="15" x14ac:dyDescent="0.25">
      <c r="B403" s="188" t="s">
        <v>416</v>
      </c>
      <c r="C403" s="184">
        <f t="shared" si="126"/>
        <v>5</v>
      </c>
      <c r="D403" s="184">
        <f t="shared" si="127"/>
        <v>38.700000000000003</v>
      </c>
      <c r="E403" s="184">
        <f t="shared" ref="E403:E409" si="129">C403*D403</f>
        <v>193.5</v>
      </c>
      <c r="F403" s="184" t="str">
        <f t="shared" si="128"/>
        <v/>
      </c>
      <c r="G403" s="185" t="str">
        <f t="shared" ref="G403:G409" si="130">IFERROR((E403/1000000000)*F403,"")</f>
        <v/>
      </c>
      <c r="K403" s="391" t="s">
        <v>415</v>
      </c>
    </row>
    <row r="404" spans="2:11" ht="15" x14ac:dyDescent="0.25">
      <c r="B404" s="188" t="s">
        <v>417</v>
      </c>
      <c r="C404" s="184">
        <f t="shared" si="126"/>
        <v>5</v>
      </c>
      <c r="D404" s="184">
        <f t="shared" si="127"/>
        <v>2.4700000000000002</v>
      </c>
      <c r="E404" s="184">
        <f t="shared" si="129"/>
        <v>12.350000000000001</v>
      </c>
      <c r="F404" s="184" t="str">
        <f t="shared" si="128"/>
        <v/>
      </c>
      <c r="G404" s="185" t="str">
        <f t="shared" si="130"/>
        <v/>
      </c>
      <c r="K404" s="392" t="s">
        <v>416</v>
      </c>
    </row>
    <row r="405" spans="2:11" ht="15" x14ac:dyDescent="0.25">
      <c r="B405" s="188" t="s">
        <v>418</v>
      </c>
      <c r="C405" s="184">
        <f t="shared" si="126"/>
        <v>5</v>
      </c>
      <c r="D405" s="184">
        <f t="shared" si="127"/>
        <v>7.06</v>
      </c>
      <c r="E405" s="184">
        <f t="shared" si="129"/>
        <v>35.299999999999997</v>
      </c>
      <c r="F405" s="184" t="str">
        <f t="shared" si="128"/>
        <v/>
      </c>
      <c r="G405" s="185" t="str">
        <f t="shared" si="130"/>
        <v/>
      </c>
      <c r="K405" s="392" t="s">
        <v>417</v>
      </c>
    </row>
    <row r="406" spans="2:11" ht="15.6" thickBot="1" x14ac:dyDescent="0.3">
      <c r="B406" s="188" t="s">
        <v>393</v>
      </c>
      <c r="C406" s="184">
        <f t="shared" si="126"/>
        <v>5</v>
      </c>
      <c r="D406" s="184">
        <f t="shared" si="127"/>
        <v>48</v>
      </c>
      <c r="E406" s="184">
        <f t="shared" si="129"/>
        <v>240</v>
      </c>
      <c r="F406" s="184">
        <f t="shared" si="128"/>
        <v>0.7</v>
      </c>
      <c r="G406" s="185">
        <f t="shared" si="130"/>
        <v>1.6799999999999997E-7</v>
      </c>
      <c r="K406" s="393" t="s">
        <v>418</v>
      </c>
    </row>
    <row r="407" spans="2:11" x14ac:dyDescent="0.25">
      <c r="B407" s="188" t="s">
        <v>395</v>
      </c>
      <c r="C407" s="184">
        <f t="shared" si="126"/>
        <v>5</v>
      </c>
      <c r="D407" s="184">
        <f t="shared" si="127"/>
        <v>50.4</v>
      </c>
      <c r="E407" s="184">
        <f t="shared" si="129"/>
        <v>252</v>
      </c>
      <c r="F407" s="184" t="str">
        <f t="shared" si="128"/>
        <v/>
      </c>
      <c r="G407" s="185" t="str">
        <f t="shared" si="130"/>
        <v/>
      </c>
    </row>
    <row r="408" spans="2:11" x14ac:dyDescent="0.25">
      <c r="B408" s="188" t="s">
        <v>423</v>
      </c>
      <c r="C408" s="184">
        <f t="shared" si="126"/>
        <v>5</v>
      </c>
      <c r="D408" s="184">
        <f t="shared" si="127"/>
        <v>50.4</v>
      </c>
      <c r="E408" s="184">
        <f t="shared" si="129"/>
        <v>252</v>
      </c>
      <c r="F408" s="184" t="str">
        <f t="shared" si="128"/>
        <v/>
      </c>
      <c r="G408" s="185" t="str">
        <f t="shared" si="130"/>
        <v/>
      </c>
    </row>
    <row r="409" spans="2:11" ht="13.8" thickBot="1" x14ac:dyDescent="0.3">
      <c r="B409" s="190" t="s">
        <v>424</v>
      </c>
      <c r="C409" s="198">
        <f t="shared" si="126"/>
        <v>5</v>
      </c>
      <c r="D409" s="198">
        <f t="shared" si="127"/>
        <v>50.4</v>
      </c>
      <c r="E409" s="198">
        <f t="shared" si="129"/>
        <v>252</v>
      </c>
      <c r="F409" s="198" t="str">
        <f t="shared" si="128"/>
        <v/>
      </c>
      <c r="G409" s="186" t="str">
        <f t="shared" si="130"/>
        <v/>
      </c>
    </row>
    <row r="410" spans="2:11" ht="13.8" thickBot="1" x14ac:dyDescent="0.3">
      <c r="B410" s="4" t="s">
        <v>224</v>
      </c>
      <c r="C410" s="5"/>
      <c r="D410" s="5"/>
      <c r="E410" s="5"/>
      <c r="F410" s="5"/>
      <c r="G410" s="6"/>
    </row>
    <row r="412" spans="2:11" ht="13.8" thickBot="1" x14ac:dyDescent="0.3">
      <c r="B412" t="s">
        <v>178</v>
      </c>
    </row>
    <row r="413" spans="2:11" ht="40.200000000000003" thickBot="1" x14ac:dyDescent="0.3">
      <c r="B413" s="34" t="s">
        <v>21</v>
      </c>
      <c r="C413" s="40" t="s">
        <v>139</v>
      </c>
      <c r="D413" s="38" t="s">
        <v>161</v>
      </c>
      <c r="E413" s="42" t="s">
        <v>162</v>
      </c>
      <c r="F413" s="42" t="s">
        <v>169</v>
      </c>
      <c r="G413" s="37" t="s">
        <v>247</v>
      </c>
    </row>
    <row r="414" spans="2:11" x14ac:dyDescent="0.25">
      <c r="B414" s="188" t="s">
        <v>415</v>
      </c>
      <c r="C414" s="184">
        <f t="shared" ref="C414:C421" si="131">VLOOKUP(B414,Fisheries,2,FALSE)</f>
        <v>5</v>
      </c>
      <c r="D414" s="184">
        <f t="shared" ref="D414:D421" si="132">VLOOKUP(B414,fuelInfo,4,FALSE)</f>
        <v>38.700000000000003</v>
      </c>
      <c r="E414" s="184">
        <f>C414*D414</f>
        <v>193.5</v>
      </c>
      <c r="F414" s="184" t="str">
        <f t="shared" ref="F414:F421" si="133">IF(VLOOKUP(B414,Density_Config,2,FALSE)=0,"",VLOOKUP(B414,Density_Config,2,FALSE))</f>
        <v/>
      </c>
      <c r="G414" s="185" t="str">
        <f>IFERROR((E414/1000000000)*F414,"")</f>
        <v/>
      </c>
    </row>
    <row r="415" spans="2:11" x14ac:dyDescent="0.25">
      <c r="B415" s="188" t="s">
        <v>416</v>
      </c>
      <c r="C415" s="184">
        <f t="shared" si="131"/>
        <v>5</v>
      </c>
      <c r="D415" s="184">
        <f t="shared" si="132"/>
        <v>38.700000000000003</v>
      </c>
      <c r="E415" s="184">
        <f t="shared" ref="E415:E421" si="134">C415*D415</f>
        <v>193.5</v>
      </c>
      <c r="F415" s="184" t="str">
        <f t="shared" si="133"/>
        <v/>
      </c>
      <c r="G415" s="185" t="str">
        <f t="shared" ref="G415:G421" si="135">IFERROR((E415/1000000000)*F415,"")</f>
        <v/>
      </c>
    </row>
    <row r="416" spans="2:11" x14ac:dyDescent="0.25">
      <c r="B416" s="188" t="s">
        <v>417</v>
      </c>
      <c r="C416" s="184">
        <f t="shared" si="131"/>
        <v>5</v>
      </c>
      <c r="D416" s="184">
        <f t="shared" si="132"/>
        <v>2.4700000000000002</v>
      </c>
      <c r="E416" s="184">
        <f t="shared" si="134"/>
        <v>12.350000000000001</v>
      </c>
      <c r="F416" s="184" t="str">
        <f t="shared" si="133"/>
        <v/>
      </c>
      <c r="G416" s="185" t="str">
        <f t="shared" si="135"/>
        <v/>
      </c>
    </row>
    <row r="417" spans="2:7" x14ac:dyDescent="0.25">
      <c r="B417" s="188" t="s">
        <v>418</v>
      </c>
      <c r="C417" s="184">
        <f t="shared" si="131"/>
        <v>5</v>
      </c>
      <c r="D417" s="184">
        <f t="shared" si="132"/>
        <v>7.06</v>
      </c>
      <c r="E417" s="184">
        <f t="shared" si="134"/>
        <v>35.299999999999997</v>
      </c>
      <c r="F417" s="184" t="str">
        <f t="shared" si="133"/>
        <v/>
      </c>
      <c r="G417" s="185" t="str">
        <f t="shared" si="135"/>
        <v/>
      </c>
    </row>
    <row r="418" spans="2:7" x14ac:dyDescent="0.25">
      <c r="B418" s="188" t="s">
        <v>393</v>
      </c>
      <c r="C418" s="184">
        <f t="shared" si="131"/>
        <v>5</v>
      </c>
      <c r="D418" s="184">
        <f t="shared" si="132"/>
        <v>48</v>
      </c>
      <c r="E418" s="184">
        <f t="shared" si="134"/>
        <v>240</v>
      </c>
      <c r="F418" s="184">
        <f t="shared" si="133"/>
        <v>0.7</v>
      </c>
      <c r="G418" s="185">
        <f t="shared" si="135"/>
        <v>1.6799999999999997E-7</v>
      </c>
    </row>
    <row r="419" spans="2:7" x14ac:dyDescent="0.25">
      <c r="B419" s="188" t="s">
        <v>395</v>
      </c>
      <c r="C419" s="184">
        <f t="shared" si="131"/>
        <v>5</v>
      </c>
      <c r="D419" s="184">
        <f t="shared" si="132"/>
        <v>50.4</v>
      </c>
      <c r="E419" s="184">
        <f t="shared" si="134"/>
        <v>252</v>
      </c>
      <c r="F419" s="184" t="str">
        <f t="shared" si="133"/>
        <v/>
      </c>
      <c r="G419" s="185" t="str">
        <f t="shared" si="135"/>
        <v/>
      </c>
    </row>
    <row r="420" spans="2:7" x14ac:dyDescent="0.25">
      <c r="B420" s="188" t="s">
        <v>423</v>
      </c>
      <c r="C420" s="184">
        <f t="shared" si="131"/>
        <v>5</v>
      </c>
      <c r="D420" s="184">
        <f t="shared" si="132"/>
        <v>50.4</v>
      </c>
      <c r="E420" s="184">
        <f t="shared" si="134"/>
        <v>252</v>
      </c>
      <c r="F420" s="184" t="str">
        <f t="shared" si="133"/>
        <v/>
      </c>
      <c r="G420" s="185" t="str">
        <f t="shared" si="135"/>
        <v/>
      </c>
    </row>
    <row r="421" spans="2:7" ht="13.8" thickBot="1" x14ac:dyDescent="0.3">
      <c r="B421" s="190" t="s">
        <v>424</v>
      </c>
      <c r="C421" s="198">
        <f t="shared" si="131"/>
        <v>5</v>
      </c>
      <c r="D421" s="198">
        <f t="shared" si="132"/>
        <v>50.4</v>
      </c>
      <c r="E421" s="198">
        <f t="shared" si="134"/>
        <v>252</v>
      </c>
      <c r="F421" s="198" t="str">
        <f t="shared" si="133"/>
        <v/>
      </c>
      <c r="G421" s="186" t="str">
        <f t="shared" si="135"/>
        <v/>
      </c>
    </row>
    <row r="422" spans="2:7" ht="13.8" thickBot="1" x14ac:dyDescent="0.3">
      <c r="B422" s="15" t="s">
        <v>405</v>
      </c>
      <c r="C422" s="20"/>
      <c r="D422" s="20"/>
      <c r="E422" s="20"/>
      <c r="F422" s="20"/>
      <c r="G422" s="14"/>
    </row>
    <row r="424" spans="2:7" x14ac:dyDescent="0.25">
      <c r="B424" s="47" t="s">
        <v>225</v>
      </c>
    </row>
    <row r="425" spans="2:7" ht="13.8" thickBot="1" x14ac:dyDescent="0.3"/>
    <row r="426" spans="2:7" ht="13.8" thickBot="1" x14ac:dyDescent="0.3">
      <c r="B426" s="30" t="s">
        <v>157</v>
      </c>
      <c r="C426" s="33" t="s">
        <v>194</v>
      </c>
      <c r="D426" s="45" t="s">
        <v>195</v>
      </c>
    </row>
    <row r="427" spans="2:7" ht="15" x14ac:dyDescent="0.25">
      <c r="B427" s="46" t="s">
        <v>43</v>
      </c>
      <c r="C427" s="19" t="s">
        <v>196</v>
      </c>
      <c r="D427" s="18" t="s">
        <v>206</v>
      </c>
    </row>
    <row r="428" spans="2:7" ht="15" x14ac:dyDescent="0.25">
      <c r="B428" s="25" t="s">
        <v>125</v>
      </c>
      <c r="C428" s="12" t="s">
        <v>197</v>
      </c>
      <c r="D428" s="3" t="s">
        <v>207</v>
      </c>
    </row>
    <row r="429" spans="2:7" ht="15" x14ac:dyDescent="0.25">
      <c r="B429" s="25" t="s">
        <v>134</v>
      </c>
      <c r="C429" s="12" t="s">
        <v>198</v>
      </c>
      <c r="D429" s="3" t="s">
        <v>208</v>
      </c>
    </row>
    <row r="430" spans="2:7" ht="15" x14ac:dyDescent="0.25">
      <c r="B430" s="25" t="s">
        <v>126</v>
      </c>
      <c r="C430" s="12" t="s">
        <v>199</v>
      </c>
      <c r="D430" s="3" t="s">
        <v>209</v>
      </c>
    </row>
    <row r="431" spans="2:7" ht="15" x14ac:dyDescent="0.25">
      <c r="B431" s="25" t="s">
        <v>127</v>
      </c>
      <c r="C431" s="12" t="s">
        <v>200</v>
      </c>
      <c r="D431" s="3" t="s">
        <v>210</v>
      </c>
    </row>
    <row r="432" spans="2:7" ht="15" x14ac:dyDescent="0.25">
      <c r="B432" s="25" t="s">
        <v>128</v>
      </c>
      <c r="C432" s="12" t="s">
        <v>201</v>
      </c>
      <c r="D432" s="3" t="s">
        <v>211</v>
      </c>
    </row>
    <row r="433" spans="2:4" ht="15" x14ac:dyDescent="0.25">
      <c r="B433" s="25" t="s">
        <v>129</v>
      </c>
      <c r="C433" s="12" t="s">
        <v>202</v>
      </c>
      <c r="D433" s="3" t="s">
        <v>212</v>
      </c>
    </row>
    <row r="434" spans="2:4" ht="15" x14ac:dyDescent="0.25">
      <c r="B434" s="25" t="s">
        <v>130</v>
      </c>
      <c r="C434" s="12" t="s">
        <v>203</v>
      </c>
      <c r="D434" s="3" t="s">
        <v>213</v>
      </c>
    </row>
    <row r="435" spans="2:4" ht="15.6" thickBot="1" x14ac:dyDescent="0.3">
      <c r="B435" s="27" t="s">
        <v>131</v>
      </c>
      <c r="C435" s="13" t="s">
        <v>204</v>
      </c>
      <c r="D435" s="6" t="s">
        <v>205</v>
      </c>
    </row>
    <row r="436" spans="2:4" ht="15.6" thickBot="1" x14ac:dyDescent="0.3">
      <c r="B436" s="27" t="s">
        <v>214</v>
      </c>
      <c r="C436" s="5"/>
      <c r="D436" s="6"/>
    </row>
  </sheetData>
  <mergeCells count="12">
    <mergeCell ref="B5:S5"/>
    <mergeCell ref="B314:G314"/>
    <mergeCell ref="P6:Q6"/>
    <mergeCell ref="R6:S6"/>
    <mergeCell ref="B6:C6"/>
    <mergeCell ref="D6:E6"/>
    <mergeCell ref="F6:G6"/>
    <mergeCell ref="H6:I6"/>
    <mergeCell ref="J6:K6"/>
    <mergeCell ref="L6:M6"/>
    <mergeCell ref="N6:O6"/>
    <mergeCell ref="B67:G67"/>
  </mergeCells>
  <phoneticPr fontId="3" type="noConversion"/>
  <pageMargins left="0.75" right="0.75" top="1" bottom="1" header="0.5" footer="0.5"/>
  <pageSetup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2:S448"/>
  <sheetViews>
    <sheetView workbookViewId="0">
      <selection activeCell="C38" sqref="C38"/>
    </sheetView>
  </sheetViews>
  <sheetFormatPr defaultRowHeight="13.2" x14ac:dyDescent="0.25"/>
  <cols>
    <col min="2" max="2" width="33.5546875" customWidth="1"/>
    <col min="3" max="3" width="13" customWidth="1"/>
    <col min="4" max="4" width="26.6640625" customWidth="1"/>
    <col min="5" max="5" width="11.5546875" customWidth="1"/>
    <col min="6" max="6" width="27.5546875" customWidth="1"/>
    <col min="7" max="7" width="19.5546875" customWidth="1"/>
    <col min="8" max="8" width="34.33203125" bestFit="1" customWidth="1"/>
    <col min="9" max="9" width="4" bestFit="1" customWidth="1"/>
    <col min="10" max="10" width="34.33203125" bestFit="1" customWidth="1"/>
    <col min="11" max="11" width="4" bestFit="1" customWidth="1"/>
    <col min="12" max="12" width="34.33203125" bestFit="1" customWidth="1"/>
    <col min="13" max="13" width="4" bestFit="1" customWidth="1"/>
    <col min="14" max="14" width="34.33203125" bestFit="1" customWidth="1"/>
    <col min="15" max="15" width="4" bestFit="1" customWidth="1"/>
    <col min="16" max="16" width="34.33203125" bestFit="1" customWidth="1"/>
    <col min="17" max="17" width="4" bestFit="1" customWidth="1"/>
    <col min="18" max="18" width="34.33203125" bestFit="1" customWidth="1"/>
    <col min="19" max="19" width="4" bestFit="1" customWidth="1"/>
  </cols>
  <sheetData>
    <row r="2" spans="1:19" ht="17.399999999999999" x14ac:dyDescent="0.3">
      <c r="B2" s="49" t="s">
        <v>276</v>
      </c>
    </row>
    <row r="4" spans="1:19" ht="16.2" thickBot="1" x14ac:dyDescent="0.35">
      <c r="B4" s="62" t="s">
        <v>636</v>
      </c>
    </row>
    <row r="5" spans="1:19" ht="16.2" thickBot="1" x14ac:dyDescent="0.35">
      <c r="A5" s="3"/>
      <c r="B5" s="43"/>
      <c r="C5" s="697" t="s">
        <v>248</v>
      </c>
      <c r="D5" s="697"/>
      <c r="E5" s="697"/>
      <c r="F5" s="697"/>
      <c r="G5" s="697"/>
      <c r="H5" s="697"/>
      <c r="I5" s="697"/>
      <c r="J5" s="697"/>
      <c r="K5" s="697"/>
      <c r="L5" s="697"/>
      <c r="M5" s="697"/>
      <c r="N5" s="697"/>
      <c r="O5" s="697"/>
      <c r="P5" s="697"/>
      <c r="Q5" s="697"/>
      <c r="R5" s="697"/>
      <c r="S5" s="698"/>
    </row>
    <row r="6" spans="1:19" ht="15.6" thickBot="1" x14ac:dyDescent="0.3">
      <c r="A6" s="3"/>
      <c r="B6" s="699" t="s">
        <v>43</v>
      </c>
      <c r="C6" s="700"/>
      <c r="D6" s="701" t="s">
        <v>125</v>
      </c>
      <c r="E6" s="702"/>
      <c r="F6" s="703" t="s">
        <v>134</v>
      </c>
      <c r="G6" s="700"/>
      <c r="H6" s="701" t="s">
        <v>126</v>
      </c>
      <c r="I6" s="702"/>
      <c r="J6" s="703" t="s">
        <v>127</v>
      </c>
      <c r="K6" s="700"/>
      <c r="L6" s="701" t="s">
        <v>128</v>
      </c>
      <c r="M6" s="702"/>
      <c r="N6" s="703" t="s">
        <v>129</v>
      </c>
      <c r="O6" s="700"/>
      <c r="P6" s="701" t="s">
        <v>130</v>
      </c>
      <c r="Q6" s="704"/>
      <c r="R6" s="701" t="s">
        <v>131</v>
      </c>
      <c r="S6" s="702"/>
    </row>
    <row r="7" spans="1:19" x14ac:dyDescent="0.25">
      <c r="B7" s="7" t="s">
        <v>397</v>
      </c>
      <c r="C7" s="8">
        <v>0.6</v>
      </c>
      <c r="D7" s="7" t="s">
        <v>397</v>
      </c>
      <c r="E7" s="18">
        <v>0.6</v>
      </c>
      <c r="F7" s="7" t="s">
        <v>397</v>
      </c>
      <c r="G7" s="8">
        <v>0.6</v>
      </c>
      <c r="H7" s="7" t="s">
        <v>397</v>
      </c>
      <c r="I7" s="18">
        <v>0.6</v>
      </c>
      <c r="J7" s="7" t="s">
        <v>397</v>
      </c>
      <c r="K7" s="8">
        <v>0.6</v>
      </c>
      <c r="L7" s="7" t="s">
        <v>397</v>
      </c>
      <c r="M7" s="18">
        <v>0.6</v>
      </c>
      <c r="N7" s="7" t="s">
        <v>397</v>
      </c>
      <c r="O7" s="8">
        <v>0.6</v>
      </c>
      <c r="P7" s="7" t="s">
        <v>397</v>
      </c>
      <c r="Q7" s="8">
        <v>0.6</v>
      </c>
      <c r="R7" s="7" t="s">
        <v>397</v>
      </c>
      <c r="S7" s="18">
        <v>0.6</v>
      </c>
    </row>
    <row r="8" spans="1:19" x14ac:dyDescent="0.25">
      <c r="B8" s="2" t="s">
        <v>22</v>
      </c>
      <c r="C8" s="3">
        <v>0.6</v>
      </c>
      <c r="D8" s="2" t="s">
        <v>22</v>
      </c>
      <c r="E8" s="3">
        <v>0.6</v>
      </c>
      <c r="F8" s="2" t="s">
        <v>22</v>
      </c>
      <c r="G8">
        <v>0.6</v>
      </c>
      <c r="H8" s="2" t="s">
        <v>22</v>
      </c>
      <c r="I8" s="3">
        <v>0.6</v>
      </c>
      <c r="J8" s="2" t="s">
        <v>22</v>
      </c>
      <c r="K8">
        <v>0.6</v>
      </c>
      <c r="L8" s="2" t="s">
        <v>22</v>
      </c>
      <c r="M8" s="3">
        <v>0.6</v>
      </c>
      <c r="N8" s="2" t="s">
        <v>22</v>
      </c>
      <c r="O8" s="3">
        <v>0.6</v>
      </c>
      <c r="P8" s="2" t="s">
        <v>22</v>
      </c>
      <c r="Q8">
        <v>0.6</v>
      </c>
      <c r="R8" s="2" t="s">
        <v>22</v>
      </c>
      <c r="S8" s="3">
        <v>0.6</v>
      </c>
    </row>
    <row r="9" spans="1:19" x14ac:dyDescent="0.25">
      <c r="B9" s="2" t="s">
        <v>406</v>
      </c>
      <c r="C9" s="3">
        <v>0.6</v>
      </c>
      <c r="D9" s="2" t="s">
        <v>406</v>
      </c>
      <c r="E9" s="3">
        <v>0.6</v>
      </c>
      <c r="F9" s="2" t="s">
        <v>406</v>
      </c>
      <c r="G9">
        <v>0.6</v>
      </c>
      <c r="H9" s="2" t="s">
        <v>406</v>
      </c>
      <c r="I9" s="3">
        <v>0.6</v>
      </c>
      <c r="J9" s="2" t="s">
        <v>406</v>
      </c>
      <c r="K9">
        <v>0.6</v>
      </c>
      <c r="L9" s="2" t="s">
        <v>406</v>
      </c>
      <c r="M9" s="3">
        <v>0.6</v>
      </c>
      <c r="N9" s="2" t="s">
        <v>406</v>
      </c>
      <c r="O9" s="3">
        <v>0.6</v>
      </c>
      <c r="P9" s="2" t="s">
        <v>406</v>
      </c>
      <c r="Q9">
        <v>0.6</v>
      </c>
      <c r="R9" s="2" t="s">
        <v>406</v>
      </c>
      <c r="S9" s="3">
        <v>0.6</v>
      </c>
    </row>
    <row r="10" spans="1:19" x14ac:dyDescent="0.25">
      <c r="B10" s="2" t="s">
        <v>398</v>
      </c>
      <c r="C10" s="3">
        <v>0.6</v>
      </c>
      <c r="D10" s="2" t="s">
        <v>398</v>
      </c>
      <c r="E10" s="3">
        <v>0.6</v>
      </c>
      <c r="F10" s="2" t="s">
        <v>398</v>
      </c>
      <c r="G10">
        <v>0.6</v>
      </c>
      <c r="H10" s="2" t="s">
        <v>398</v>
      </c>
      <c r="I10" s="3">
        <v>0.6</v>
      </c>
      <c r="J10" s="2" t="s">
        <v>398</v>
      </c>
      <c r="K10">
        <v>0.6</v>
      </c>
      <c r="L10" s="2" t="s">
        <v>398</v>
      </c>
      <c r="M10" s="3">
        <v>0.6</v>
      </c>
      <c r="N10" s="2" t="s">
        <v>398</v>
      </c>
      <c r="O10" s="3">
        <v>0.6</v>
      </c>
      <c r="P10" s="2" t="s">
        <v>398</v>
      </c>
      <c r="Q10">
        <v>0.6</v>
      </c>
      <c r="R10" s="2" t="s">
        <v>398</v>
      </c>
      <c r="S10" s="3">
        <v>0.6</v>
      </c>
    </row>
    <row r="11" spans="1:19" x14ac:dyDescent="0.25">
      <c r="B11" s="2" t="s">
        <v>399</v>
      </c>
      <c r="C11" s="3">
        <v>0.6</v>
      </c>
      <c r="D11" s="2" t="s">
        <v>399</v>
      </c>
      <c r="E11" s="3">
        <v>0.6</v>
      </c>
      <c r="F11" s="2" t="s">
        <v>399</v>
      </c>
      <c r="G11">
        <v>0.6</v>
      </c>
      <c r="H11" s="2" t="s">
        <v>399</v>
      </c>
      <c r="I11" s="3">
        <v>0.6</v>
      </c>
      <c r="J11" s="2" t="s">
        <v>399</v>
      </c>
      <c r="K11">
        <v>0.6</v>
      </c>
      <c r="L11" s="2" t="s">
        <v>399</v>
      </c>
      <c r="M11" s="3">
        <v>0.6</v>
      </c>
      <c r="N11" s="2" t="s">
        <v>399</v>
      </c>
      <c r="O11" s="3">
        <v>0.6</v>
      </c>
      <c r="P11" s="2" t="s">
        <v>399</v>
      </c>
      <c r="Q11">
        <v>0.6</v>
      </c>
      <c r="R11" s="2" t="s">
        <v>399</v>
      </c>
      <c r="S11" s="3">
        <v>0.6</v>
      </c>
    </row>
    <row r="12" spans="1:19" x14ac:dyDescent="0.25">
      <c r="B12" s="2" t="s">
        <v>425</v>
      </c>
      <c r="C12" s="3">
        <v>0.6</v>
      </c>
      <c r="D12" s="2" t="s">
        <v>425</v>
      </c>
      <c r="E12" s="3">
        <v>0.6</v>
      </c>
      <c r="F12" s="2" t="s">
        <v>425</v>
      </c>
      <c r="G12">
        <v>0.6</v>
      </c>
      <c r="H12" s="2" t="s">
        <v>425</v>
      </c>
      <c r="I12" s="3">
        <v>0.6</v>
      </c>
      <c r="J12" s="2" t="s">
        <v>425</v>
      </c>
      <c r="K12">
        <v>0.6</v>
      </c>
      <c r="L12" s="2" t="s">
        <v>425</v>
      </c>
      <c r="M12" s="3">
        <v>0.6</v>
      </c>
      <c r="N12" s="2" t="s">
        <v>425</v>
      </c>
      <c r="O12" s="3">
        <v>0.6</v>
      </c>
      <c r="P12" s="2" t="s">
        <v>425</v>
      </c>
      <c r="Q12">
        <v>0.6</v>
      </c>
      <c r="R12" s="2" t="s">
        <v>425</v>
      </c>
      <c r="S12" s="3">
        <v>0.6</v>
      </c>
    </row>
    <row r="13" spans="1:19" x14ac:dyDescent="0.25">
      <c r="B13" s="2" t="s">
        <v>400</v>
      </c>
      <c r="C13" s="3">
        <v>0.6</v>
      </c>
      <c r="D13" s="2" t="s">
        <v>400</v>
      </c>
      <c r="E13" s="3">
        <v>0.6</v>
      </c>
      <c r="F13" s="2" t="s">
        <v>400</v>
      </c>
      <c r="G13">
        <v>0.6</v>
      </c>
      <c r="H13" s="2" t="s">
        <v>400</v>
      </c>
      <c r="I13" s="3">
        <v>0.6</v>
      </c>
      <c r="J13" s="2" t="s">
        <v>400</v>
      </c>
      <c r="K13">
        <v>0.6</v>
      </c>
      <c r="L13" s="2" t="s">
        <v>400</v>
      </c>
      <c r="M13" s="3">
        <v>0.6</v>
      </c>
      <c r="N13" s="2" t="s">
        <v>400</v>
      </c>
      <c r="O13" s="3">
        <v>0.6</v>
      </c>
      <c r="P13" s="2" t="s">
        <v>400</v>
      </c>
      <c r="Q13">
        <v>0.6</v>
      </c>
      <c r="R13" s="2" t="s">
        <v>400</v>
      </c>
      <c r="S13" s="3">
        <v>0.6</v>
      </c>
    </row>
    <row r="14" spans="1:19" x14ac:dyDescent="0.25">
      <c r="B14" s="2" t="s">
        <v>401</v>
      </c>
      <c r="C14" s="3">
        <v>0.6</v>
      </c>
      <c r="D14" s="2" t="s">
        <v>401</v>
      </c>
      <c r="E14" s="3">
        <v>0.6</v>
      </c>
      <c r="F14" s="2" t="s">
        <v>401</v>
      </c>
      <c r="G14">
        <v>0.6</v>
      </c>
      <c r="H14" s="2" t="s">
        <v>401</v>
      </c>
      <c r="I14" s="3">
        <v>0.6</v>
      </c>
      <c r="J14" s="2" t="s">
        <v>401</v>
      </c>
      <c r="K14">
        <v>0.6</v>
      </c>
      <c r="L14" s="2" t="s">
        <v>401</v>
      </c>
      <c r="M14" s="3">
        <v>0.6</v>
      </c>
      <c r="N14" s="2" t="s">
        <v>401</v>
      </c>
      <c r="O14" s="3">
        <v>0.6</v>
      </c>
      <c r="P14" s="2" t="s">
        <v>401</v>
      </c>
      <c r="Q14">
        <v>0.6</v>
      </c>
      <c r="R14" s="2" t="s">
        <v>401</v>
      </c>
      <c r="S14" s="3">
        <v>0.6</v>
      </c>
    </row>
    <row r="15" spans="1:19" x14ac:dyDescent="0.25">
      <c r="B15" s="2" t="s">
        <v>383</v>
      </c>
      <c r="C15" s="3">
        <v>0.6</v>
      </c>
      <c r="D15" s="2" t="s">
        <v>383</v>
      </c>
      <c r="E15" s="3">
        <v>0.6</v>
      </c>
      <c r="F15" s="2" t="s">
        <v>383</v>
      </c>
      <c r="G15">
        <v>0.6</v>
      </c>
      <c r="H15" s="2" t="s">
        <v>383</v>
      </c>
      <c r="I15" s="3">
        <v>0.6</v>
      </c>
      <c r="J15" s="2" t="s">
        <v>383</v>
      </c>
      <c r="K15">
        <v>0.6</v>
      </c>
      <c r="L15" s="2" t="s">
        <v>383</v>
      </c>
      <c r="M15" s="3">
        <v>0.6</v>
      </c>
      <c r="N15" s="2" t="s">
        <v>383</v>
      </c>
      <c r="O15" s="3">
        <v>0.6</v>
      </c>
      <c r="P15" s="2" t="s">
        <v>383</v>
      </c>
      <c r="Q15">
        <v>0.6</v>
      </c>
      <c r="R15" s="2" t="s">
        <v>383</v>
      </c>
      <c r="S15" s="3">
        <v>0.6</v>
      </c>
    </row>
    <row r="16" spans="1:19" x14ac:dyDescent="0.25">
      <c r="B16" s="2" t="s">
        <v>384</v>
      </c>
      <c r="C16" s="3">
        <v>0.6</v>
      </c>
      <c r="D16" s="2" t="s">
        <v>384</v>
      </c>
      <c r="E16" s="3">
        <v>0.6</v>
      </c>
      <c r="F16" s="2" t="s">
        <v>384</v>
      </c>
      <c r="G16">
        <v>0.6</v>
      </c>
      <c r="H16" s="2" t="s">
        <v>384</v>
      </c>
      <c r="I16" s="3">
        <v>0.6</v>
      </c>
      <c r="J16" s="2" t="s">
        <v>384</v>
      </c>
      <c r="K16">
        <v>0.6</v>
      </c>
      <c r="L16" s="2" t="s">
        <v>384</v>
      </c>
      <c r="M16" s="3">
        <v>0.6</v>
      </c>
      <c r="N16" s="2" t="s">
        <v>384</v>
      </c>
      <c r="O16" s="3">
        <v>0.6</v>
      </c>
      <c r="P16" s="2" t="s">
        <v>384</v>
      </c>
      <c r="Q16">
        <v>0.6</v>
      </c>
      <c r="R16" s="2" t="s">
        <v>384</v>
      </c>
      <c r="S16" s="3">
        <v>0.6</v>
      </c>
    </row>
    <row r="17" spans="2:19" x14ac:dyDescent="0.25">
      <c r="B17" s="2" t="s">
        <v>385</v>
      </c>
      <c r="C17">
        <v>0.6</v>
      </c>
      <c r="D17" s="2" t="s">
        <v>385</v>
      </c>
      <c r="E17" s="3">
        <v>0.6</v>
      </c>
      <c r="F17" s="2" t="s">
        <v>385</v>
      </c>
      <c r="G17">
        <v>0.6</v>
      </c>
      <c r="H17" s="2" t="s">
        <v>385</v>
      </c>
      <c r="I17" s="3">
        <v>0.6</v>
      </c>
      <c r="J17" s="2" t="s">
        <v>385</v>
      </c>
      <c r="K17">
        <v>0.6</v>
      </c>
      <c r="L17" s="2" t="s">
        <v>385</v>
      </c>
      <c r="M17" s="3">
        <v>0.6</v>
      </c>
      <c r="N17" s="2" t="s">
        <v>385</v>
      </c>
      <c r="O17" s="3">
        <v>0.6</v>
      </c>
      <c r="P17" s="2" t="s">
        <v>385</v>
      </c>
      <c r="Q17">
        <v>0.6</v>
      </c>
      <c r="R17" s="2" t="s">
        <v>385</v>
      </c>
      <c r="S17" s="3">
        <v>0.6</v>
      </c>
    </row>
    <row r="18" spans="2:19" x14ac:dyDescent="0.25">
      <c r="B18" s="2" t="s">
        <v>386</v>
      </c>
      <c r="C18">
        <v>0.1</v>
      </c>
      <c r="D18" s="2" t="s">
        <v>386</v>
      </c>
      <c r="E18" s="3">
        <v>0.1</v>
      </c>
      <c r="F18" s="2" t="s">
        <v>386</v>
      </c>
      <c r="G18">
        <v>0.1</v>
      </c>
      <c r="H18" s="2" t="s">
        <v>386</v>
      </c>
      <c r="I18" s="3">
        <v>0.1</v>
      </c>
      <c r="J18" s="2" t="s">
        <v>386</v>
      </c>
      <c r="K18">
        <v>0.1</v>
      </c>
      <c r="L18" s="2" t="s">
        <v>386</v>
      </c>
      <c r="M18" s="3">
        <v>0.1</v>
      </c>
      <c r="N18" s="2" t="s">
        <v>386</v>
      </c>
      <c r="O18">
        <v>0.1</v>
      </c>
      <c r="P18" s="2" t="s">
        <v>386</v>
      </c>
      <c r="Q18">
        <v>0.1</v>
      </c>
      <c r="R18" s="2" t="s">
        <v>386</v>
      </c>
      <c r="S18" s="3">
        <v>0.1</v>
      </c>
    </row>
    <row r="19" spans="2:19" x14ac:dyDescent="0.25">
      <c r="B19" s="2" t="s">
        <v>23</v>
      </c>
      <c r="C19">
        <v>0.1</v>
      </c>
      <c r="D19" s="2" t="s">
        <v>23</v>
      </c>
      <c r="E19" s="3">
        <v>0.1</v>
      </c>
      <c r="F19" s="2" t="s">
        <v>23</v>
      </c>
      <c r="G19">
        <v>0.1</v>
      </c>
      <c r="H19" s="2" t="s">
        <v>23</v>
      </c>
      <c r="I19" s="3">
        <v>0.1</v>
      </c>
      <c r="J19" s="2" t="s">
        <v>23</v>
      </c>
      <c r="K19">
        <v>0.1</v>
      </c>
      <c r="L19" s="2" t="s">
        <v>23</v>
      </c>
      <c r="M19" s="3">
        <v>0.1</v>
      </c>
      <c r="N19" s="2" t="s">
        <v>23</v>
      </c>
      <c r="O19">
        <v>0.1</v>
      </c>
      <c r="P19" s="2" t="s">
        <v>23</v>
      </c>
      <c r="Q19">
        <v>0.1</v>
      </c>
      <c r="R19" s="2" t="s">
        <v>23</v>
      </c>
      <c r="S19" s="3">
        <v>0.1</v>
      </c>
    </row>
    <row r="20" spans="2:19" x14ac:dyDescent="0.25">
      <c r="B20" s="2" t="s">
        <v>24</v>
      </c>
      <c r="C20">
        <v>0.6</v>
      </c>
      <c r="D20" s="2" t="s">
        <v>24</v>
      </c>
      <c r="E20" s="3">
        <v>0.6</v>
      </c>
      <c r="F20" s="2" t="s">
        <v>24</v>
      </c>
      <c r="G20">
        <v>0.6</v>
      </c>
      <c r="H20" s="2" t="s">
        <v>24</v>
      </c>
      <c r="I20" s="3">
        <v>0.6</v>
      </c>
      <c r="J20" s="2" t="s">
        <v>24</v>
      </c>
      <c r="K20">
        <v>0.6</v>
      </c>
      <c r="L20" s="2" t="s">
        <v>24</v>
      </c>
      <c r="M20" s="3">
        <v>0.6</v>
      </c>
      <c r="N20" s="2" t="s">
        <v>24</v>
      </c>
      <c r="O20">
        <v>0.6</v>
      </c>
      <c r="P20" s="2" t="s">
        <v>24</v>
      </c>
      <c r="Q20">
        <v>0.6</v>
      </c>
      <c r="R20" s="2" t="s">
        <v>24</v>
      </c>
      <c r="S20" s="3">
        <v>0.6</v>
      </c>
    </row>
    <row r="21" spans="2:19" x14ac:dyDescent="0.25">
      <c r="B21" s="2" t="s">
        <v>25</v>
      </c>
      <c r="C21">
        <v>0.6</v>
      </c>
      <c r="D21" s="2" t="s">
        <v>25</v>
      </c>
      <c r="E21" s="3">
        <v>0.6</v>
      </c>
      <c r="F21" s="2" t="s">
        <v>25</v>
      </c>
      <c r="G21">
        <v>0.6</v>
      </c>
      <c r="H21" s="2" t="s">
        <v>25</v>
      </c>
      <c r="I21" s="3">
        <v>0.6</v>
      </c>
      <c r="J21" s="2" t="s">
        <v>25</v>
      </c>
      <c r="K21">
        <v>0.6</v>
      </c>
      <c r="L21" s="2" t="s">
        <v>25</v>
      </c>
      <c r="M21" s="3">
        <v>0.6</v>
      </c>
      <c r="N21" s="2" t="s">
        <v>25</v>
      </c>
      <c r="O21">
        <v>0.6</v>
      </c>
      <c r="P21" s="2" t="s">
        <v>25</v>
      </c>
      <c r="Q21">
        <v>0.6</v>
      </c>
      <c r="R21" s="2" t="s">
        <v>25</v>
      </c>
      <c r="S21" s="3">
        <v>0.6</v>
      </c>
    </row>
    <row r="22" spans="2:19" x14ac:dyDescent="0.25">
      <c r="B22" s="2" t="s">
        <v>26</v>
      </c>
      <c r="C22">
        <v>0.6</v>
      </c>
      <c r="D22" s="2" t="s">
        <v>26</v>
      </c>
      <c r="E22" s="3">
        <v>0.6</v>
      </c>
      <c r="F22" s="2" t="s">
        <v>26</v>
      </c>
      <c r="G22">
        <v>0.6</v>
      </c>
      <c r="H22" s="2" t="s">
        <v>26</v>
      </c>
      <c r="I22" s="3">
        <v>0.6</v>
      </c>
      <c r="J22" s="2" t="s">
        <v>26</v>
      </c>
      <c r="K22">
        <v>0.6</v>
      </c>
      <c r="L22" s="2" t="s">
        <v>26</v>
      </c>
      <c r="M22" s="3">
        <v>0.6</v>
      </c>
      <c r="N22" s="2" t="s">
        <v>26</v>
      </c>
      <c r="O22">
        <v>0.6</v>
      </c>
      <c r="P22" s="2" t="s">
        <v>26</v>
      </c>
      <c r="Q22">
        <v>0.6</v>
      </c>
      <c r="R22" s="2" t="s">
        <v>26</v>
      </c>
      <c r="S22" s="3">
        <v>0.6</v>
      </c>
    </row>
    <row r="23" spans="2:19" x14ac:dyDescent="0.25">
      <c r="B23" s="2" t="s">
        <v>407</v>
      </c>
      <c r="C23">
        <v>0.6</v>
      </c>
      <c r="D23" s="2" t="s">
        <v>407</v>
      </c>
      <c r="E23" s="3">
        <v>0.6</v>
      </c>
      <c r="F23" s="2" t="s">
        <v>407</v>
      </c>
      <c r="G23">
        <v>0.6</v>
      </c>
      <c r="H23" s="2" t="s">
        <v>407</v>
      </c>
      <c r="I23" s="3">
        <v>0.6</v>
      </c>
      <c r="J23" s="2" t="s">
        <v>407</v>
      </c>
      <c r="K23">
        <v>0.6</v>
      </c>
      <c r="L23" s="2" t="s">
        <v>407</v>
      </c>
      <c r="M23" s="3">
        <v>0.6</v>
      </c>
      <c r="N23" s="2" t="s">
        <v>407</v>
      </c>
      <c r="O23">
        <v>0.6</v>
      </c>
      <c r="P23" s="2" t="s">
        <v>407</v>
      </c>
      <c r="Q23">
        <v>0.6</v>
      </c>
      <c r="R23" s="2" t="s">
        <v>407</v>
      </c>
      <c r="S23" s="3">
        <v>0.6</v>
      </c>
    </row>
    <row r="24" spans="2:19" x14ac:dyDescent="0.25">
      <c r="B24" s="2" t="s">
        <v>408</v>
      </c>
      <c r="C24">
        <v>0.6</v>
      </c>
      <c r="D24" s="2" t="s">
        <v>408</v>
      </c>
      <c r="E24" s="3">
        <v>0.6</v>
      </c>
      <c r="F24" s="2" t="s">
        <v>408</v>
      </c>
      <c r="G24">
        <v>0.6</v>
      </c>
      <c r="H24" s="2" t="s">
        <v>408</v>
      </c>
      <c r="I24" s="3">
        <v>0.6</v>
      </c>
      <c r="J24" s="2" t="s">
        <v>408</v>
      </c>
      <c r="K24">
        <v>0.6</v>
      </c>
      <c r="L24" s="2" t="s">
        <v>408</v>
      </c>
      <c r="M24" s="3">
        <v>0.6</v>
      </c>
      <c r="N24" s="2" t="s">
        <v>408</v>
      </c>
      <c r="O24">
        <v>0.6</v>
      </c>
      <c r="P24" s="2" t="s">
        <v>408</v>
      </c>
      <c r="Q24">
        <v>0.6</v>
      </c>
      <c r="R24" s="2" t="s">
        <v>408</v>
      </c>
      <c r="S24" s="3">
        <v>0.6</v>
      </c>
    </row>
    <row r="25" spans="2:19" x14ac:dyDescent="0.25">
      <c r="B25" s="2" t="s">
        <v>409</v>
      </c>
      <c r="C25">
        <v>0.1</v>
      </c>
      <c r="D25" s="2" t="s">
        <v>409</v>
      </c>
      <c r="E25" s="3">
        <v>0.1</v>
      </c>
      <c r="F25" s="2" t="s">
        <v>409</v>
      </c>
      <c r="G25">
        <v>0.1</v>
      </c>
      <c r="H25" s="2" t="s">
        <v>409</v>
      </c>
      <c r="I25" s="3">
        <v>0.1</v>
      </c>
      <c r="J25" s="2" t="s">
        <v>409</v>
      </c>
      <c r="K25">
        <v>0.1</v>
      </c>
      <c r="L25" s="2" t="s">
        <v>409</v>
      </c>
      <c r="M25" s="3">
        <v>0.1</v>
      </c>
      <c r="N25" s="2" t="s">
        <v>409</v>
      </c>
      <c r="O25">
        <v>0.1</v>
      </c>
      <c r="P25" s="2" t="s">
        <v>409</v>
      </c>
      <c r="Q25">
        <v>0.1</v>
      </c>
      <c r="R25" s="2" t="s">
        <v>409</v>
      </c>
      <c r="S25" s="3">
        <v>0.1</v>
      </c>
    </row>
    <row r="26" spans="2:19" x14ac:dyDescent="0.25">
      <c r="B26" s="2" t="s">
        <v>410</v>
      </c>
      <c r="C26">
        <v>0.6</v>
      </c>
      <c r="D26" s="2" t="s">
        <v>410</v>
      </c>
      <c r="E26" s="3">
        <v>0.6</v>
      </c>
      <c r="F26" s="2" t="s">
        <v>410</v>
      </c>
      <c r="G26">
        <v>0.6</v>
      </c>
      <c r="H26" s="2" t="s">
        <v>410</v>
      </c>
      <c r="I26" s="3">
        <v>0.6</v>
      </c>
      <c r="J26" s="2" t="s">
        <v>410</v>
      </c>
      <c r="K26">
        <v>0.6</v>
      </c>
      <c r="L26" s="2" t="s">
        <v>410</v>
      </c>
      <c r="M26" s="3">
        <v>0.6</v>
      </c>
      <c r="N26" s="2" t="s">
        <v>410</v>
      </c>
      <c r="O26">
        <v>0.6</v>
      </c>
      <c r="P26" s="2" t="s">
        <v>410</v>
      </c>
      <c r="Q26">
        <v>0.6</v>
      </c>
      <c r="R26" s="2" t="s">
        <v>410</v>
      </c>
      <c r="S26" s="3">
        <v>0.6</v>
      </c>
    </row>
    <row r="27" spans="2:19" x14ac:dyDescent="0.25">
      <c r="B27" s="2" t="s">
        <v>411</v>
      </c>
      <c r="C27">
        <v>0.6</v>
      </c>
      <c r="D27" s="2" t="s">
        <v>411</v>
      </c>
      <c r="E27" s="3">
        <v>0.6</v>
      </c>
      <c r="F27" s="2" t="s">
        <v>411</v>
      </c>
      <c r="G27">
        <v>0.6</v>
      </c>
      <c r="H27" s="2" t="s">
        <v>411</v>
      </c>
      <c r="I27" s="3">
        <v>0.6</v>
      </c>
      <c r="J27" s="2" t="s">
        <v>411</v>
      </c>
      <c r="K27">
        <v>0.6</v>
      </c>
      <c r="L27" s="2" t="s">
        <v>411</v>
      </c>
      <c r="M27" s="3">
        <v>0.6</v>
      </c>
      <c r="N27" s="2" t="s">
        <v>411</v>
      </c>
      <c r="O27">
        <v>0.6</v>
      </c>
      <c r="P27" s="2" t="s">
        <v>411</v>
      </c>
      <c r="Q27">
        <v>0.6</v>
      </c>
      <c r="R27" s="2" t="s">
        <v>411</v>
      </c>
      <c r="S27" s="3">
        <v>0.6</v>
      </c>
    </row>
    <row r="28" spans="2:19" x14ac:dyDescent="0.25">
      <c r="B28" s="2" t="s">
        <v>412</v>
      </c>
      <c r="C28">
        <v>0.6</v>
      </c>
      <c r="D28" s="2" t="s">
        <v>412</v>
      </c>
      <c r="E28" s="3">
        <v>0.6</v>
      </c>
      <c r="F28" s="2" t="s">
        <v>412</v>
      </c>
      <c r="G28">
        <v>0.6</v>
      </c>
      <c r="H28" s="2" t="s">
        <v>412</v>
      </c>
      <c r="I28" s="3">
        <v>0.6</v>
      </c>
      <c r="J28" s="2" t="s">
        <v>412</v>
      </c>
      <c r="K28">
        <v>0.6</v>
      </c>
      <c r="L28" s="2" t="s">
        <v>412</v>
      </c>
      <c r="M28" s="3">
        <v>0.6</v>
      </c>
      <c r="N28" s="2" t="s">
        <v>412</v>
      </c>
      <c r="O28">
        <v>0.6</v>
      </c>
      <c r="P28" s="2" t="s">
        <v>412</v>
      </c>
      <c r="Q28">
        <v>0.6</v>
      </c>
      <c r="R28" s="2" t="s">
        <v>412</v>
      </c>
      <c r="S28" s="3">
        <v>0.6</v>
      </c>
    </row>
    <row r="29" spans="2:19" x14ac:dyDescent="0.25">
      <c r="B29" s="2" t="s">
        <v>27</v>
      </c>
      <c r="C29">
        <v>1.5</v>
      </c>
      <c r="D29" s="2" t="s">
        <v>27</v>
      </c>
      <c r="E29" s="3">
        <v>1.5</v>
      </c>
      <c r="F29" s="2" t="s">
        <v>27</v>
      </c>
      <c r="G29">
        <v>1.5</v>
      </c>
      <c r="H29" s="2" t="s">
        <v>27</v>
      </c>
      <c r="I29" s="3">
        <v>1.5</v>
      </c>
      <c r="J29" s="2" t="s">
        <v>27</v>
      </c>
      <c r="K29">
        <v>1.5</v>
      </c>
      <c r="L29" s="2" t="s">
        <v>27</v>
      </c>
      <c r="M29" s="3">
        <v>1.5</v>
      </c>
      <c r="N29" s="2" t="s">
        <v>27</v>
      </c>
      <c r="O29">
        <v>1.5</v>
      </c>
      <c r="P29" s="2" t="s">
        <v>27</v>
      </c>
      <c r="Q29">
        <v>1.5</v>
      </c>
      <c r="R29" s="2" t="s">
        <v>27</v>
      </c>
      <c r="S29" s="3">
        <v>1.5</v>
      </c>
    </row>
    <row r="30" spans="2:19" x14ac:dyDescent="0.25">
      <c r="B30" s="2" t="s">
        <v>387</v>
      </c>
      <c r="C30">
        <v>1.5</v>
      </c>
      <c r="D30" s="2" t="s">
        <v>387</v>
      </c>
      <c r="E30" s="3">
        <v>1.5</v>
      </c>
      <c r="F30" s="2" t="s">
        <v>387</v>
      </c>
      <c r="G30">
        <v>1.5</v>
      </c>
      <c r="H30" s="2" t="s">
        <v>387</v>
      </c>
      <c r="I30" s="3">
        <v>1.5</v>
      </c>
      <c r="J30" s="2" t="s">
        <v>387</v>
      </c>
      <c r="K30">
        <v>1.5</v>
      </c>
      <c r="L30" s="2" t="s">
        <v>387</v>
      </c>
      <c r="M30" s="3">
        <v>1.5</v>
      </c>
      <c r="N30" s="2" t="s">
        <v>387</v>
      </c>
      <c r="O30">
        <v>1.5</v>
      </c>
      <c r="P30" s="2" t="s">
        <v>387</v>
      </c>
      <c r="Q30">
        <v>1.5</v>
      </c>
      <c r="R30" s="2" t="s">
        <v>387</v>
      </c>
      <c r="S30" s="3">
        <v>1.5</v>
      </c>
    </row>
    <row r="31" spans="2:19" x14ac:dyDescent="0.25">
      <c r="B31" s="2" t="s">
        <v>388</v>
      </c>
      <c r="C31">
        <v>1.5</v>
      </c>
      <c r="D31" s="2" t="s">
        <v>388</v>
      </c>
      <c r="E31" s="3">
        <v>1.5</v>
      </c>
      <c r="F31" s="2" t="s">
        <v>388</v>
      </c>
      <c r="G31">
        <v>1.5</v>
      </c>
      <c r="H31" s="2" t="s">
        <v>388</v>
      </c>
      <c r="I31" s="3">
        <v>1.5</v>
      </c>
      <c r="J31" s="2" t="s">
        <v>388</v>
      </c>
      <c r="K31">
        <v>1.5</v>
      </c>
      <c r="L31" s="2" t="s">
        <v>388</v>
      </c>
      <c r="M31" s="3">
        <v>1.5</v>
      </c>
      <c r="N31" s="2" t="s">
        <v>388</v>
      </c>
      <c r="O31">
        <v>1.5</v>
      </c>
      <c r="P31" s="2" t="s">
        <v>388</v>
      </c>
      <c r="Q31">
        <v>1.5</v>
      </c>
      <c r="R31" s="2" t="s">
        <v>388</v>
      </c>
      <c r="S31" s="3">
        <v>1.5</v>
      </c>
    </row>
    <row r="32" spans="2:19" x14ac:dyDescent="0.25">
      <c r="B32" s="2" t="s">
        <v>389</v>
      </c>
      <c r="C32">
        <v>1.5</v>
      </c>
      <c r="D32" s="2" t="s">
        <v>389</v>
      </c>
      <c r="E32" s="3">
        <v>1.5</v>
      </c>
      <c r="F32" s="2" t="s">
        <v>389</v>
      </c>
      <c r="G32">
        <v>1.5</v>
      </c>
      <c r="H32" s="2" t="s">
        <v>389</v>
      </c>
      <c r="I32" s="3">
        <v>1.5</v>
      </c>
      <c r="J32" s="2" t="s">
        <v>389</v>
      </c>
      <c r="K32">
        <v>1.5</v>
      </c>
      <c r="L32" s="2" t="s">
        <v>389</v>
      </c>
      <c r="M32" s="3">
        <v>1.5</v>
      </c>
      <c r="N32" s="2" t="s">
        <v>389</v>
      </c>
      <c r="O32">
        <v>1.5</v>
      </c>
      <c r="P32" s="2" t="s">
        <v>389</v>
      </c>
      <c r="Q32">
        <v>1.5</v>
      </c>
      <c r="R32" s="2" t="s">
        <v>389</v>
      </c>
      <c r="S32" s="3">
        <v>1.5</v>
      </c>
    </row>
    <row r="33" spans="2:19" x14ac:dyDescent="0.25">
      <c r="B33" s="2" t="s">
        <v>28</v>
      </c>
      <c r="C33">
        <v>1.5</v>
      </c>
      <c r="D33" s="2" t="s">
        <v>28</v>
      </c>
      <c r="E33" s="3">
        <v>1.5</v>
      </c>
      <c r="F33" s="2" t="s">
        <v>28</v>
      </c>
      <c r="G33">
        <v>1.5</v>
      </c>
      <c r="H33" s="2" t="s">
        <v>28</v>
      </c>
      <c r="I33" s="3">
        <v>1.5</v>
      </c>
      <c r="J33" s="2" t="s">
        <v>28</v>
      </c>
      <c r="K33">
        <v>1.5</v>
      </c>
      <c r="L33" s="2" t="s">
        <v>28</v>
      </c>
      <c r="M33" s="3">
        <v>1.5</v>
      </c>
      <c r="N33" s="2" t="s">
        <v>28</v>
      </c>
      <c r="O33">
        <v>1.5</v>
      </c>
      <c r="P33" s="2" t="s">
        <v>28</v>
      </c>
      <c r="Q33">
        <v>1.5</v>
      </c>
      <c r="R33" s="2" t="s">
        <v>28</v>
      </c>
      <c r="S33" s="3">
        <v>1.5</v>
      </c>
    </row>
    <row r="34" spans="2:19" x14ac:dyDescent="0.25">
      <c r="B34" s="2" t="s">
        <v>29</v>
      </c>
      <c r="C34">
        <v>1.5</v>
      </c>
      <c r="D34" s="2" t="s">
        <v>29</v>
      </c>
      <c r="E34" s="3">
        <v>1.5</v>
      </c>
      <c r="F34" s="2" t="s">
        <v>29</v>
      </c>
      <c r="G34">
        <v>1.5</v>
      </c>
      <c r="H34" s="2" t="s">
        <v>29</v>
      </c>
      <c r="I34" s="3">
        <v>1.5</v>
      </c>
      <c r="J34" s="2" t="s">
        <v>29</v>
      </c>
      <c r="K34">
        <v>1.5</v>
      </c>
      <c r="L34" s="2" t="s">
        <v>29</v>
      </c>
      <c r="M34" s="3">
        <v>1.5</v>
      </c>
      <c r="N34" s="2" t="s">
        <v>29</v>
      </c>
      <c r="O34">
        <v>1.5</v>
      </c>
      <c r="P34" s="2" t="s">
        <v>29</v>
      </c>
      <c r="Q34">
        <v>1.5</v>
      </c>
      <c r="R34" s="2" t="s">
        <v>29</v>
      </c>
      <c r="S34" s="3">
        <v>1.5</v>
      </c>
    </row>
    <row r="35" spans="2:19" x14ac:dyDescent="0.25">
      <c r="B35" s="2" t="s">
        <v>390</v>
      </c>
      <c r="C35">
        <v>1.5</v>
      </c>
      <c r="D35" s="2" t="s">
        <v>390</v>
      </c>
      <c r="E35" s="3">
        <v>1.5</v>
      </c>
      <c r="F35" s="2" t="s">
        <v>390</v>
      </c>
      <c r="G35">
        <v>1.5</v>
      </c>
      <c r="H35" s="2" t="s">
        <v>390</v>
      </c>
      <c r="I35" s="3">
        <v>1.5</v>
      </c>
      <c r="J35" s="2" t="s">
        <v>390</v>
      </c>
      <c r="K35">
        <v>1.5</v>
      </c>
      <c r="L35" s="2" t="s">
        <v>390</v>
      </c>
      <c r="M35" s="3">
        <v>1.5</v>
      </c>
      <c r="N35" s="2" t="s">
        <v>390</v>
      </c>
      <c r="O35">
        <v>1.5</v>
      </c>
      <c r="P35" s="2" t="s">
        <v>390</v>
      </c>
      <c r="Q35">
        <v>1.5</v>
      </c>
      <c r="R35" s="2" t="s">
        <v>390</v>
      </c>
      <c r="S35" s="3">
        <v>1.5</v>
      </c>
    </row>
    <row r="36" spans="2:19" x14ac:dyDescent="0.25">
      <c r="B36" s="2" t="s">
        <v>391</v>
      </c>
      <c r="C36">
        <v>1.5</v>
      </c>
      <c r="D36" s="2" t="s">
        <v>391</v>
      </c>
      <c r="E36" s="3">
        <v>1.5</v>
      </c>
      <c r="F36" s="2" t="s">
        <v>391</v>
      </c>
      <c r="G36">
        <v>1.5</v>
      </c>
      <c r="H36" s="2" t="s">
        <v>391</v>
      </c>
      <c r="I36" s="3">
        <v>1.5</v>
      </c>
      <c r="J36" s="2" t="s">
        <v>391</v>
      </c>
      <c r="K36">
        <v>1.5</v>
      </c>
      <c r="L36" s="2" t="s">
        <v>391</v>
      </c>
      <c r="M36" s="3">
        <v>1.5</v>
      </c>
      <c r="N36" s="2" t="s">
        <v>391</v>
      </c>
      <c r="O36">
        <v>1.5</v>
      </c>
      <c r="P36" s="2" t="s">
        <v>391</v>
      </c>
      <c r="Q36">
        <v>1.5</v>
      </c>
      <c r="R36" s="2" t="s">
        <v>391</v>
      </c>
      <c r="S36" s="3">
        <v>1.5</v>
      </c>
    </row>
    <row r="37" spans="2:19" x14ac:dyDescent="0.25">
      <c r="B37" s="2" t="s">
        <v>380</v>
      </c>
      <c r="C37">
        <v>1.5</v>
      </c>
      <c r="D37" s="2" t="s">
        <v>380</v>
      </c>
      <c r="E37" s="3">
        <v>1.5</v>
      </c>
      <c r="F37" s="2" t="s">
        <v>380</v>
      </c>
      <c r="G37">
        <v>1.5</v>
      </c>
      <c r="H37" s="2" t="s">
        <v>380</v>
      </c>
      <c r="I37" s="3">
        <v>1.5</v>
      </c>
      <c r="J37" s="2" t="s">
        <v>380</v>
      </c>
      <c r="K37">
        <v>1.5</v>
      </c>
      <c r="L37" s="2" t="s">
        <v>380</v>
      </c>
      <c r="M37" s="3">
        <v>1.5</v>
      </c>
      <c r="N37" s="2" t="s">
        <v>380</v>
      </c>
      <c r="O37">
        <v>1.5</v>
      </c>
      <c r="P37" s="2" t="s">
        <v>380</v>
      </c>
      <c r="Q37">
        <v>1.5</v>
      </c>
      <c r="R37" s="2" t="s">
        <v>380</v>
      </c>
      <c r="S37" s="3">
        <v>1.5</v>
      </c>
    </row>
    <row r="38" spans="2:19" x14ac:dyDescent="0.25">
      <c r="B38" s="2" t="s">
        <v>392</v>
      </c>
      <c r="C38">
        <v>1.5</v>
      </c>
      <c r="D38" s="2" t="s">
        <v>392</v>
      </c>
      <c r="E38" s="3">
        <v>1.5</v>
      </c>
      <c r="F38" s="2" t="s">
        <v>392</v>
      </c>
      <c r="G38">
        <v>1.5</v>
      </c>
      <c r="H38" s="2" t="s">
        <v>392</v>
      </c>
      <c r="I38" s="3">
        <v>1.5</v>
      </c>
      <c r="J38" s="2" t="s">
        <v>392</v>
      </c>
      <c r="K38">
        <v>1.5</v>
      </c>
      <c r="L38" s="2" t="s">
        <v>392</v>
      </c>
      <c r="M38" s="3">
        <v>1.5</v>
      </c>
      <c r="N38" s="2" t="s">
        <v>392</v>
      </c>
      <c r="O38">
        <v>1.5</v>
      </c>
      <c r="P38" s="2" t="s">
        <v>392</v>
      </c>
      <c r="Q38">
        <v>1.5</v>
      </c>
      <c r="R38" s="2" t="s">
        <v>392</v>
      </c>
      <c r="S38" s="3">
        <v>1.5</v>
      </c>
    </row>
    <row r="39" spans="2:19" x14ac:dyDescent="0.25">
      <c r="B39" s="2" t="s">
        <v>413</v>
      </c>
      <c r="C39">
        <v>0.1</v>
      </c>
      <c r="D39" s="2" t="s">
        <v>413</v>
      </c>
      <c r="E39" s="3">
        <v>0.1</v>
      </c>
      <c r="F39" s="2" t="s">
        <v>413</v>
      </c>
      <c r="G39">
        <v>0.1</v>
      </c>
      <c r="H39" s="2" t="s">
        <v>413</v>
      </c>
      <c r="I39" s="3">
        <v>0.1</v>
      </c>
      <c r="J39" s="2" t="s">
        <v>413</v>
      </c>
      <c r="K39">
        <v>0.1</v>
      </c>
      <c r="L39" s="2" t="s">
        <v>413</v>
      </c>
      <c r="M39" s="3">
        <v>0.1</v>
      </c>
      <c r="N39" s="2" t="s">
        <v>413</v>
      </c>
      <c r="O39">
        <v>0.1</v>
      </c>
      <c r="P39" s="2" t="s">
        <v>413</v>
      </c>
      <c r="Q39">
        <v>0.1</v>
      </c>
      <c r="R39" s="2" t="s">
        <v>413</v>
      </c>
      <c r="S39" s="3">
        <v>0.1</v>
      </c>
    </row>
    <row r="40" spans="2:19" x14ac:dyDescent="0.25">
      <c r="B40" s="2" t="s">
        <v>414</v>
      </c>
      <c r="C40">
        <v>1.5</v>
      </c>
      <c r="D40" s="2" t="s">
        <v>414</v>
      </c>
      <c r="E40" s="3">
        <v>1.5</v>
      </c>
      <c r="F40" s="2" t="s">
        <v>414</v>
      </c>
      <c r="G40">
        <v>1.5</v>
      </c>
      <c r="H40" s="2" t="s">
        <v>414</v>
      </c>
      <c r="I40" s="3">
        <v>1.5</v>
      </c>
      <c r="J40" s="2" t="s">
        <v>414</v>
      </c>
      <c r="K40">
        <v>1.5</v>
      </c>
      <c r="L40" s="2" t="s">
        <v>414</v>
      </c>
      <c r="M40" s="3">
        <v>1.5</v>
      </c>
      <c r="N40" s="2" t="s">
        <v>414</v>
      </c>
      <c r="O40">
        <v>1.5</v>
      </c>
      <c r="P40" s="2" t="s">
        <v>414</v>
      </c>
      <c r="Q40">
        <v>1.5</v>
      </c>
      <c r="R40" s="2" t="s">
        <v>414</v>
      </c>
      <c r="S40" s="3">
        <v>1.5</v>
      </c>
    </row>
    <row r="41" spans="2:19" x14ac:dyDescent="0.25">
      <c r="B41" s="2" t="s">
        <v>415</v>
      </c>
      <c r="C41">
        <v>0.1</v>
      </c>
      <c r="D41" s="2" t="s">
        <v>415</v>
      </c>
      <c r="E41" s="3">
        <v>0.1</v>
      </c>
      <c r="F41" s="2" t="s">
        <v>415</v>
      </c>
      <c r="G41">
        <v>0.1</v>
      </c>
      <c r="H41" s="2" t="s">
        <v>415</v>
      </c>
      <c r="I41" s="3">
        <v>0.1</v>
      </c>
      <c r="J41" s="2" t="s">
        <v>415</v>
      </c>
      <c r="K41">
        <v>0.1</v>
      </c>
      <c r="L41" s="2" t="s">
        <v>415</v>
      </c>
      <c r="M41" s="3">
        <v>0.1</v>
      </c>
      <c r="N41" s="2" t="s">
        <v>415</v>
      </c>
      <c r="O41">
        <v>0.1</v>
      </c>
      <c r="P41" s="2" t="s">
        <v>415</v>
      </c>
      <c r="Q41">
        <v>0.1</v>
      </c>
      <c r="R41" s="2" t="s">
        <v>415</v>
      </c>
      <c r="S41" s="3">
        <v>0.1</v>
      </c>
    </row>
    <row r="42" spans="2:19" x14ac:dyDescent="0.25">
      <c r="B42" s="2" t="s">
        <v>416</v>
      </c>
      <c r="C42">
        <v>0.1</v>
      </c>
      <c r="D42" s="2" t="s">
        <v>416</v>
      </c>
      <c r="E42" s="3">
        <v>0.1</v>
      </c>
      <c r="F42" s="2" t="s">
        <v>416</v>
      </c>
      <c r="G42">
        <v>0.1</v>
      </c>
      <c r="H42" s="2" t="s">
        <v>416</v>
      </c>
      <c r="I42" s="3">
        <v>0.1</v>
      </c>
      <c r="J42" s="2" t="s">
        <v>416</v>
      </c>
      <c r="K42">
        <v>0.1</v>
      </c>
      <c r="L42" s="2" t="s">
        <v>416</v>
      </c>
      <c r="M42" s="3">
        <v>0.1</v>
      </c>
      <c r="N42" s="2" t="s">
        <v>416</v>
      </c>
      <c r="O42">
        <v>0.1</v>
      </c>
      <c r="P42" s="2" t="s">
        <v>416</v>
      </c>
      <c r="Q42">
        <v>0.1</v>
      </c>
      <c r="R42" s="2" t="s">
        <v>416</v>
      </c>
      <c r="S42" s="3">
        <v>0.1</v>
      </c>
    </row>
    <row r="43" spans="2:19" x14ac:dyDescent="0.25">
      <c r="B43" s="2" t="s">
        <v>417</v>
      </c>
      <c r="C43">
        <v>0.1</v>
      </c>
      <c r="D43" s="2" t="s">
        <v>417</v>
      </c>
      <c r="E43" s="3">
        <v>0.1</v>
      </c>
      <c r="F43" s="2" t="s">
        <v>417</v>
      </c>
      <c r="G43">
        <v>0.1</v>
      </c>
      <c r="H43" s="2" t="s">
        <v>417</v>
      </c>
      <c r="I43" s="3">
        <v>0.1</v>
      </c>
      <c r="J43" s="2" t="s">
        <v>417</v>
      </c>
      <c r="K43">
        <v>0.1</v>
      </c>
      <c r="L43" s="2" t="s">
        <v>417</v>
      </c>
      <c r="M43" s="3">
        <v>0.1</v>
      </c>
      <c r="N43" s="2" t="s">
        <v>417</v>
      </c>
      <c r="O43">
        <v>0.1</v>
      </c>
      <c r="P43" s="2" t="s">
        <v>417</v>
      </c>
      <c r="Q43">
        <v>0.1</v>
      </c>
      <c r="R43" s="2" t="s">
        <v>417</v>
      </c>
      <c r="S43" s="3">
        <v>0.1</v>
      </c>
    </row>
    <row r="44" spans="2:19" x14ac:dyDescent="0.25">
      <c r="B44" s="2" t="s">
        <v>418</v>
      </c>
      <c r="C44">
        <v>0.1</v>
      </c>
      <c r="D44" s="2" t="s">
        <v>418</v>
      </c>
      <c r="E44" s="3">
        <v>0.1</v>
      </c>
      <c r="F44" s="2" t="s">
        <v>418</v>
      </c>
      <c r="G44">
        <v>0.1</v>
      </c>
      <c r="H44" s="2" t="s">
        <v>418</v>
      </c>
      <c r="I44" s="3">
        <v>0.1</v>
      </c>
      <c r="J44" s="2" t="s">
        <v>418</v>
      </c>
      <c r="K44">
        <v>0.1</v>
      </c>
      <c r="L44" s="2" t="s">
        <v>418</v>
      </c>
      <c r="M44" s="3">
        <v>0.1</v>
      </c>
      <c r="N44" s="2" t="s">
        <v>418</v>
      </c>
      <c r="O44">
        <v>0.1</v>
      </c>
      <c r="P44" s="2" t="s">
        <v>418</v>
      </c>
      <c r="Q44">
        <v>0.1</v>
      </c>
      <c r="R44" s="2" t="s">
        <v>418</v>
      </c>
      <c r="S44" s="3">
        <v>0.1</v>
      </c>
    </row>
    <row r="45" spans="2:19" x14ac:dyDescent="0.25">
      <c r="B45" s="2" t="s">
        <v>393</v>
      </c>
      <c r="C45">
        <v>0.1</v>
      </c>
      <c r="D45" s="2" t="s">
        <v>393</v>
      </c>
      <c r="E45" s="3">
        <v>0.1</v>
      </c>
      <c r="F45" s="2" t="s">
        <v>393</v>
      </c>
      <c r="G45">
        <v>0.1</v>
      </c>
      <c r="H45" s="2" t="s">
        <v>393</v>
      </c>
      <c r="I45" s="3">
        <v>0.1</v>
      </c>
      <c r="J45" s="2" t="s">
        <v>393</v>
      </c>
      <c r="K45">
        <v>0.1</v>
      </c>
      <c r="L45" s="2" t="s">
        <v>393</v>
      </c>
      <c r="M45" s="3">
        <v>0.1</v>
      </c>
      <c r="N45" s="2" t="s">
        <v>393</v>
      </c>
      <c r="O45">
        <v>0.1</v>
      </c>
      <c r="P45" s="2" t="s">
        <v>393</v>
      </c>
      <c r="Q45">
        <v>0.1</v>
      </c>
      <c r="R45" s="2" t="s">
        <v>393</v>
      </c>
      <c r="S45" s="3">
        <v>0.1</v>
      </c>
    </row>
    <row r="46" spans="2:19" x14ac:dyDescent="0.25">
      <c r="B46" s="2" t="s">
        <v>426</v>
      </c>
      <c r="C46">
        <v>4</v>
      </c>
      <c r="D46" s="2" t="s">
        <v>426</v>
      </c>
      <c r="E46" s="3">
        <v>4</v>
      </c>
      <c r="F46" t="s">
        <v>426</v>
      </c>
      <c r="G46">
        <v>4</v>
      </c>
      <c r="H46" t="s">
        <v>426</v>
      </c>
      <c r="I46" s="3">
        <v>4</v>
      </c>
      <c r="J46" t="s">
        <v>426</v>
      </c>
      <c r="K46">
        <v>4</v>
      </c>
      <c r="L46" t="s">
        <v>426</v>
      </c>
      <c r="M46" s="3">
        <v>4</v>
      </c>
      <c r="N46" t="s">
        <v>426</v>
      </c>
      <c r="O46">
        <v>4</v>
      </c>
      <c r="P46" s="2" t="s">
        <v>426</v>
      </c>
      <c r="Q46">
        <v>4</v>
      </c>
      <c r="R46" s="2" t="s">
        <v>426</v>
      </c>
      <c r="S46" s="3">
        <v>4</v>
      </c>
    </row>
    <row r="47" spans="2:19" x14ac:dyDescent="0.25">
      <c r="B47" s="2" t="s">
        <v>419</v>
      </c>
      <c r="C47">
        <v>4</v>
      </c>
      <c r="D47" s="2" t="s">
        <v>419</v>
      </c>
      <c r="E47" s="3">
        <v>4</v>
      </c>
      <c r="F47" s="2" t="s">
        <v>419</v>
      </c>
      <c r="G47">
        <v>4</v>
      </c>
      <c r="H47" s="2" t="s">
        <v>419</v>
      </c>
      <c r="I47" s="3">
        <v>4</v>
      </c>
      <c r="J47" s="2" t="s">
        <v>419</v>
      </c>
      <c r="K47">
        <v>4</v>
      </c>
      <c r="L47" s="2" t="s">
        <v>419</v>
      </c>
      <c r="M47" s="3">
        <v>4</v>
      </c>
      <c r="N47" s="2" t="s">
        <v>419</v>
      </c>
      <c r="O47">
        <v>4</v>
      </c>
      <c r="P47" s="2" t="s">
        <v>419</v>
      </c>
      <c r="Q47">
        <v>4</v>
      </c>
      <c r="R47" s="2" t="s">
        <v>419</v>
      </c>
      <c r="S47" s="3">
        <v>4</v>
      </c>
    </row>
    <row r="48" spans="2:19" x14ac:dyDescent="0.25">
      <c r="B48" s="2" t="s">
        <v>420</v>
      </c>
      <c r="C48">
        <v>4</v>
      </c>
      <c r="D48" s="2" t="s">
        <v>420</v>
      </c>
      <c r="E48" s="3">
        <v>4</v>
      </c>
      <c r="F48" s="2" t="s">
        <v>420</v>
      </c>
      <c r="G48">
        <v>4</v>
      </c>
      <c r="H48" s="2" t="s">
        <v>420</v>
      </c>
      <c r="I48" s="3">
        <v>4</v>
      </c>
      <c r="J48" s="2" t="s">
        <v>420</v>
      </c>
      <c r="K48">
        <v>4</v>
      </c>
      <c r="L48" s="2" t="s">
        <v>420</v>
      </c>
      <c r="M48" s="3">
        <v>4</v>
      </c>
      <c r="N48" s="2" t="s">
        <v>420</v>
      </c>
      <c r="O48">
        <v>4</v>
      </c>
      <c r="P48" s="2" t="s">
        <v>420</v>
      </c>
      <c r="Q48">
        <v>4</v>
      </c>
      <c r="R48" s="2" t="s">
        <v>420</v>
      </c>
      <c r="S48" s="3">
        <v>4</v>
      </c>
    </row>
    <row r="49" spans="2:19" s="29" customFormat="1" x14ac:dyDescent="0.25">
      <c r="B49" s="31" t="s">
        <v>394</v>
      </c>
      <c r="C49" s="29">
        <v>4</v>
      </c>
      <c r="D49" s="31" t="s">
        <v>394</v>
      </c>
      <c r="E49" s="32">
        <v>4</v>
      </c>
      <c r="F49" s="31" t="s">
        <v>394</v>
      </c>
      <c r="G49" s="29">
        <v>4</v>
      </c>
      <c r="H49" s="31" t="s">
        <v>394</v>
      </c>
      <c r="I49" s="32">
        <v>4</v>
      </c>
      <c r="J49" s="31" t="s">
        <v>394</v>
      </c>
      <c r="K49" s="29">
        <v>4</v>
      </c>
      <c r="L49" s="31" t="s">
        <v>394</v>
      </c>
      <c r="M49" s="32">
        <v>4</v>
      </c>
      <c r="N49" s="31" t="s">
        <v>394</v>
      </c>
      <c r="O49" s="29">
        <v>4</v>
      </c>
      <c r="P49" s="31" t="s">
        <v>394</v>
      </c>
      <c r="Q49" s="29">
        <v>4</v>
      </c>
      <c r="R49" s="31" t="s">
        <v>394</v>
      </c>
      <c r="S49" s="32">
        <v>4</v>
      </c>
    </row>
    <row r="50" spans="2:19" x14ac:dyDescent="0.25">
      <c r="B50" s="2" t="s">
        <v>613</v>
      </c>
      <c r="C50">
        <v>2</v>
      </c>
      <c r="D50" s="2" t="s">
        <v>613</v>
      </c>
      <c r="E50" s="3">
        <v>2</v>
      </c>
      <c r="F50" s="2" t="s">
        <v>613</v>
      </c>
      <c r="G50">
        <v>2</v>
      </c>
      <c r="H50" s="2" t="s">
        <v>613</v>
      </c>
      <c r="I50" s="3">
        <v>2</v>
      </c>
      <c r="J50" s="2" t="s">
        <v>613</v>
      </c>
      <c r="K50">
        <v>2</v>
      </c>
      <c r="L50" s="2" t="s">
        <v>613</v>
      </c>
      <c r="M50" s="3">
        <v>2</v>
      </c>
      <c r="N50" s="2" t="s">
        <v>613</v>
      </c>
      <c r="O50" s="3">
        <v>2</v>
      </c>
      <c r="P50" s="2" t="s">
        <v>613</v>
      </c>
      <c r="Q50">
        <v>2</v>
      </c>
      <c r="R50" s="2" t="s">
        <v>613</v>
      </c>
      <c r="S50" s="3">
        <v>2</v>
      </c>
    </row>
    <row r="51" spans="2:19" x14ac:dyDescent="0.25">
      <c r="B51" s="2" t="s">
        <v>421</v>
      </c>
      <c r="C51">
        <v>4</v>
      </c>
      <c r="D51" s="2" t="s">
        <v>421</v>
      </c>
      <c r="E51" s="3">
        <v>4</v>
      </c>
      <c r="F51" s="2" t="s">
        <v>421</v>
      </c>
      <c r="G51">
        <v>4</v>
      </c>
      <c r="H51" s="2" t="s">
        <v>421</v>
      </c>
      <c r="I51" s="3">
        <v>4</v>
      </c>
      <c r="J51" s="2" t="s">
        <v>421</v>
      </c>
      <c r="K51">
        <v>4</v>
      </c>
      <c r="L51" s="2" t="s">
        <v>421</v>
      </c>
      <c r="M51" s="3">
        <v>4</v>
      </c>
      <c r="N51" s="2" t="s">
        <v>421</v>
      </c>
      <c r="O51" s="3">
        <v>4</v>
      </c>
      <c r="P51" s="2" t="s">
        <v>421</v>
      </c>
      <c r="Q51">
        <v>4</v>
      </c>
      <c r="R51" s="2" t="s">
        <v>421</v>
      </c>
      <c r="S51" s="3">
        <v>4</v>
      </c>
    </row>
    <row r="52" spans="2:19" x14ac:dyDescent="0.25">
      <c r="B52" s="2" t="s">
        <v>30</v>
      </c>
      <c r="C52">
        <v>4</v>
      </c>
      <c r="D52" s="2" t="s">
        <v>30</v>
      </c>
      <c r="E52" s="3">
        <v>4</v>
      </c>
      <c r="F52" s="2" t="s">
        <v>30</v>
      </c>
      <c r="G52">
        <v>4</v>
      </c>
      <c r="H52" s="2" t="s">
        <v>30</v>
      </c>
      <c r="I52" s="3">
        <v>1</v>
      </c>
      <c r="J52" s="2" t="s">
        <v>30</v>
      </c>
      <c r="K52">
        <v>1</v>
      </c>
      <c r="L52" s="2" t="s">
        <v>30</v>
      </c>
      <c r="M52" s="3">
        <v>1</v>
      </c>
      <c r="N52" s="2" t="s">
        <v>30</v>
      </c>
      <c r="O52" s="3">
        <v>1</v>
      </c>
      <c r="P52" s="2" t="s">
        <v>30</v>
      </c>
      <c r="Q52">
        <v>1</v>
      </c>
      <c r="R52" s="2" t="s">
        <v>30</v>
      </c>
      <c r="S52" s="3">
        <v>1</v>
      </c>
    </row>
    <row r="53" spans="2:19" x14ac:dyDescent="0.25">
      <c r="B53" s="2" t="s">
        <v>31</v>
      </c>
      <c r="C53">
        <v>0.6</v>
      </c>
      <c r="D53" s="2" t="s">
        <v>31</v>
      </c>
      <c r="E53" s="3">
        <v>0.6</v>
      </c>
      <c r="F53" s="2" t="s">
        <v>31</v>
      </c>
      <c r="G53">
        <v>0.6</v>
      </c>
      <c r="H53" s="2" t="s">
        <v>31</v>
      </c>
      <c r="I53" s="3">
        <v>0.6</v>
      </c>
      <c r="J53" s="2" t="s">
        <v>31</v>
      </c>
      <c r="K53">
        <v>0.6</v>
      </c>
      <c r="L53" s="2" t="s">
        <v>31</v>
      </c>
      <c r="M53" s="3">
        <v>0.6</v>
      </c>
      <c r="N53" s="2" t="s">
        <v>31</v>
      </c>
      <c r="O53">
        <v>0.6</v>
      </c>
      <c r="P53" s="2" t="s">
        <v>31</v>
      </c>
      <c r="Q53">
        <v>0.6</v>
      </c>
      <c r="R53" s="2" t="s">
        <v>31</v>
      </c>
      <c r="S53" s="3">
        <v>0.6</v>
      </c>
    </row>
    <row r="54" spans="2:19" x14ac:dyDescent="0.25">
      <c r="B54" s="2" t="s">
        <v>32</v>
      </c>
      <c r="C54">
        <v>0.6</v>
      </c>
      <c r="D54" s="2" t="s">
        <v>32</v>
      </c>
      <c r="E54" s="3">
        <v>0.6</v>
      </c>
      <c r="F54" s="2" t="s">
        <v>32</v>
      </c>
      <c r="G54">
        <v>0.6</v>
      </c>
      <c r="H54" s="2" t="s">
        <v>32</v>
      </c>
      <c r="I54" s="3">
        <v>0.6</v>
      </c>
      <c r="J54" s="2" t="s">
        <v>32</v>
      </c>
      <c r="K54">
        <v>0.6</v>
      </c>
      <c r="L54" s="2" t="s">
        <v>32</v>
      </c>
      <c r="M54" s="3">
        <v>0.6</v>
      </c>
      <c r="N54" s="2" t="s">
        <v>32</v>
      </c>
      <c r="O54">
        <v>0.6</v>
      </c>
      <c r="P54" s="2" t="s">
        <v>32</v>
      </c>
      <c r="Q54">
        <v>0.6</v>
      </c>
      <c r="R54" s="2" t="s">
        <v>32</v>
      </c>
      <c r="S54" s="3">
        <v>0.6</v>
      </c>
    </row>
    <row r="55" spans="2:19" x14ac:dyDescent="0.25">
      <c r="B55" s="2" t="s">
        <v>422</v>
      </c>
      <c r="C55">
        <v>0.6</v>
      </c>
      <c r="D55" s="2" t="s">
        <v>422</v>
      </c>
      <c r="E55" s="3">
        <v>0.6</v>
      </c>
      <c r="F55" s="2" t="s">
        <v>422</v>
      </c>
      <c r="G55">
        <v>0.6</v>
      </c>
      <c r="H55" s="2" t="s">
        <v>422</v>
      </c>
      <c r="I55" s="3">
        <v>0.6</v>
      </c>
      <c r="J55" s="2" t="s">
        <v>422</v>
      </c>
      <c r="K55">
        <v>0.6</v>
      </c>
      <c r="L55" s="2" t="s">
        <v>422</v>
      </c>
      <c r="M55" s="3">
        <v>0.6</v>
      </c>
      <c r="N55" s="2" t="s">
        <v>422</v>
      </c>
      <c r="O55">
        <v>0.6</v>
      </c>
      <c r="P55" s="2" t="s">
        <v>422</v>
      </c>
      <c r="Q55">
        <v>0.6</v>
      </c>
      <c r="R55" s="2" t="s">
        <v>422</v>
      </c>
      <c r="S55" s="3">
        <v>0.6</v>
      </c>
    </row>
    <row r="56" spans="2:19" x14ac:dyDescent="0.25">
      <c r="B56" s="2" t="s">
        <v>395</v>
      </c>
      <c r="C56">
        <v>0.1</v>
      </c>
      <c r="D56" s="2" t="s">
        <v>395</v>
      </c>
      <c r="E56" s="3">
        <v>0.1</v>
      </c>
      <c r="F56" s="2" t="s">
        <v>395</v>
      </c>
      <c r="G56">
        <v>0.1</v>
      </c>
      <c r="H56" s="2" t="s">
        <v>395</v>
      </c>
      <c r="I56" s="3">
        <v>0.1</v>
      </c>
      <c r="J56" s="2" t="s">
        <v>395</v>
      </c>
      <c r="K56">
        <v>0.1</v>
      </c>
      <c r="L56" s="2" t="s">
        <v>395</v>
      </c>
      <c r="M56" s="3">
        <v>0.1</v>
      </c>
      <c r="N56" s="2" t="s">
        <v>395</v>
      </c>
      <c r="O56">
        <v>0.1</v>
      </c>
      <c r="P56" s="2" t="s">
        <v>395</v>
      </c>
      <c r="Q56">
        <v>0.1</v>
      </c>
      <c r="R56" s="2" t="s">
        <v>395</v>
      </c>
      <c r="S56" s="3">
        <v>0.1</v>
      </c>
    </row>
    <row r="57" spans="2:19" x14ac:dyDescent="0.25">
      <c r="B57" s="2" t="s">
        <v>423</v>
      </c>
      <c r="C57">
        <v>0.1</v>
      </c>
      <c r="D57" s="2" t="s">
        <v>423</v>
      </c>
      <c r="E57" s="3">
        <v>0.1</v>
      </c>
      <c r="F57" s="2" t="s">
        <v>423</v>
      </c>
      <c r="G57">
        <v>0.1</v>
      </c>
      <c r="H57" s="2" t="s">
        <v>423</v>
      </c>
      <c r="I57" s="3">
        <v>0.1</v>
      </c>
      <c r="J57" s="2" t="s">
        <v>423</v>
      </c>
      <c r="K57">
        <v>0.1</v>
      </c>
      <c r="L57" s="2" t="s">
        <v>423</v>
      </c>
      <c r="M57" s="3">
        <v>0.1</v>
      </c>
      <c r="N57" s="2" t="s">
        <v>423</v>
      </c>
      <c r="O57">
        <v>0.1</v>
      </c>
      <c r="P57" s="2" t="s">
        <v>423</v>
      </c>
      <c r="Q57">
        <v>0.1</v>
      </c>
      <c r="R57" s="2" t="s">
        <v>423</v>
      </c>
      <c r="S57" s="3">
        <v>0.1</v>
      </c>
    </row>
    <row r="58" spans="2:19" x14ac:dyDescent="0.25">
      <c r="B58" s="2" t="s">
        <v>424</v>
      </c>
      <c r="C58">
        <v>0.1</v>
      </c>
      <c r="D58" s="2" t="s">
        <v>424</v>
      </c>
      <c r="E58" s="3">
        <v>0.1</v>
      </c>
      <c r="F58" s="2" t="s">
        <v>424</v>
      </c>
      <c r="G58">
        <v>0.1</v>
      </c>
      <c r="H58" s="2" t="s">
        <v>424</v>
      </c>
      <c r="I58" s="3">
        <v>0.1</v>
      </c>
      <c r="J58" s="2" t="s">
        <v>424</v>
      </c>
      <c r="K58">
        <v>0.1</v>
      </c>
      <c r="L58" s="2" t="s">
        <v>424</v>
      </c>
      <c r="M58" s="3">
        <v>0.1</v>
      </c>
      <c r="N58" s="2" t="s">
        <v>424</v>
      </c>
      <c r="O58">
        <v>0.1</v>
      </c>
      <c r="P58" s="2" t="s">
        <v>424</v>
      </c>
      <c r="Q58">
        <v>0.1</v>
      </c>
      <c r="R58" s="2" t="s">
        <v>424</v>
      </c>
      <c r="S58" s="3">
        <v>0.1</v>
      </c>
    </row>
    <row r="59" spans="2:19" x14ac:dyDescent="0.25">
      <c r="B59" s="2" t="s">
        <v>427</v>
      </c>
      <c r="C59">
        <v>4</v>
      </c>
      <c r="D59" s="2" t="s">
        <v>427</v>
      </c>
      <c r="E59" s="3">
        <v>4</v>
      </c>
      <c r="F59" t="s">
        <v>427</v>
      </c>
      <c r="G59">
        <v>4</v>
      </c>
      <c r="H59" t="s">
        <v>427</v>
      </c>
      <c r="I59" s="3">
        <v>4</v>
      </c>
      <c r="J59" s="2" t="s">
        <v>427</v>
      </c>
      <c r="K59">
        <v>4</v>
      </c>
      <c r="L59" s="2" t="s">
        <v>427</v>
      </c>
      <c r="M59" s="3">
        <v>4</v>
      </c>
      <c r="N59" t="s">
        <v>427</v>
      </c>
      <c r="O59">
        <v>4</v>
      </c>
      <c r="P59" s="2" t="s">
        <v>427</v>
      </c>
      <c r="Q59">
        <v>4</v>
      </c>
      <c r="R59" s="2" t="s">
        <v>427</v>
      </c>
      <c r="S59" s="3">
        <v>4</v>
      </c>
    </row>
    <row r="60" spans="2:19" ht="13.8" thickBot="1" x14ac:dyDescent="0.3">
      <c r="B60" s="4" t="s">
        <v>33</v>
      </c>
      <c r="C60" s="5">
        <v>1.5</v>
      </c>
      <c r="D60" s="4" t="s">
        <v>33</v>
      </c>
      <c r="E60" s="6">
        <v>1.5</v>
      </c>
      <c r="F60" s="4" t="s">
        <v>33</v>
      </c>
      <c r="G60" s="5">
        <v>1.5</v>
      </c>
      <c r="H60" s="4" t="s">
        <v>33</v>
      </c>
      <c r="I60" s="6">
        <v>1.4</v>
      </c>
      <c r="J60" s="4" t="s">
        <v>33</v>
      </c>
      <c r="K60" s="5">
        <v>1.4</v>
      </c>
      <c r="L60" s="4" t="s">
        <v>33</v>
      </c>
      <c r="M60" s="6">
        <v>1.4</v>
      </c>
      <c r="N60" s="4" t="s">
        <v>33</v>
      </c>
      <c r="O60" s="6">
        <v>1.4</v>
      </c>
      <c r="P60" s="4" t="s">
        <v>33</v>
      </c>
      <c r="Q60" s="5">
        <v>1.4</v>
      </c>
      <c r="R60" s="4" t="s">
        <v>33</v>
      </c>
      <c r="S60" s="6">
        <v>1.4</v>
      </c>
    </row>
    <row r="61" spans="2:19" ht="14.4" thickBot="1" x14ac:dyDescent="0.3">
      <c r="B61" s="203" t="s">
        <v>249</v>
      </c>
      <c r="C61" s="204"/>
      <c r="D61" s="203" t="s">
        <v>250</v>
      </c>
      <c r="E61" s="205"/>
      <c r="F61" s="204" t="s">
        <v>251</v>
      </c>
      <c r="G61" s="204"/>
      <c r="H61" s="203" t="s">
        <v>252</v>
      </c>
      <c r="I61" s="205"/>
      <c r="J61" s="204" t="s">
        <v>253</v>
      </c>
      <c r="K61" s="204"/>
      <c r="L61" s="203" t="s">
        <v>254</v>
      </c>
      <c r="M61" s="205"/>
      <c r="N61" s="204" t="s">
        <v>255</v>
      </c>
      <c r="O61" s="205"/>
      <c r="P61" s="204" t="s">
        <v>256</v>
      </c>
      <c r="Q61" s="204"/>
      <c r="R61" s="203" t="s">
        <v>257</v>
      </c>
      <c r="S61" s="205"/>
    </row>
    <row r="63" spans="2:19" x14ac:dyDescent="0.25">
      <c r="B63" t="s">
        <v>642</v>
      </c>
    </row>
    <row r="64" spans="2:19" x14ac:dyDescent="0.25">
      <c r="C64" t="s">
        <v>138</v>
      </c>
    </row>
    <row r="67" spans="2:8" ht="39.75" customHeight="1" x14ac:dyDescent="0.25">
      <c r="B67" s="693" t="s">
        <v>258</v>
      </c>
      <c r="C67" s="693"/>
      <c r="D67" s="693"/>
      <c r="E67" s="693"/>
      <c r="F67" s="693"/>
      <c r="G67" s="693"/>
    </row>
    <row r="69" spans="2:8" ht="14.4" thickBot="1" x14ac:dyDescent="0.3">
      <c r="B69" s="207" t="s">
        <v>601</v>
      </c>
      <c r="C69" s="207"/>
      <c r="D69" s="207"/>
      <c r="E69" s="207"/>
      <c r="F69" s="207"/>
      <c r="G69" s="207"/>
      <c r="H69" s="207"/>
    </row>
    <row r="70" spans="2:8" ht="90.75" customHeight="1" thickBot="1" x14ac:dyDescent="0.3">
      <c r="B70" s="206" t="s">
        <v>21</v>
      </c>
      <c r="C70" s="388" t="s">
        <v>643</v>
      </c>
      <c r="D70" s="390" t="s">
        <v>644</v>
      </c>
      <c r="E70" s="211" t="s">
        <v>162</v>
      </c>
      <c r="F70" s="208" t="s">
        <v>163</v>
      </c>
      <c r="G70" s="211" t="s">
        <v>645</v>
      </c>
      <c r="H70" s="207"/>
    </row>
    <row r="71" spans="2:8" ht="13.8" x14ac:dyDescent="0.25">
      <c r="B71" s="212" t="s">
        <v>399</v>
      </c>
      <c r="C71" s="213">
        <f t="shared" ref="C71:C83" si="0">VLOOKUP(B71,Energy,2,FALSE)</f>
        <v>3</v>
      </c>
      <c r="D71" s="389">
        <f t="shared" ref="D71:D83" si="1">VLOOKUP(B71,fuelInfo,4,FALSE)</f>
        <v>44.3</v>
      </c>
      <c r="E71" s="213">
        <f>C71*D71</f>
        <v>132.89999999999998</v>
      </c>
      <c r="F71" s="216">
        <f t="shared" ref="F71:F83" si="2">IF(VLOOKUP(B71,Density_Config,2,FALSE)=0,"",VLOOKUP(B71,Density_Config,2,FALSE))</f>
        <v>0.70445880999999999</v>
      </c>
      <c r="G71" s="217">
        <f>IFERROR((E71/1000000000)*F71,"")</f>
        <v>9.362257584899998E-8</v>
      </c>
      <c r="H71" s="207"/>
    </row>
    <row r="72" spans="2:8" ht="13.8" x14ac:dyDescent="0.25">
      <c r="B72" s="215" t="s">
        <v>32</v>
      </c>
      <c r="C72" s="216">
        <f t="shared" si="0"/>
        <v>3</v>
      </c>
      <c r="D72" s="216">
        <f t="shared" si="1"/>
        <v>27</v>
      </c>
      <c r="E72" s="216">
        <f t="shared" ref="E72:E83" si="3">C72*D72</f>
        <v>81</v>
      </c>
      <c r="F72" s="216" t="str">
        <f t="shared" si="2"/>
        <v/>
      </c>
      <c r="G72" s="217" t="str">
        <f t="shared" ref="G72:G83" si="4">IFERROR((E72/1000000000)*F72,"")</f>
        <v/>
      </c>
      <c r="H72" s="207"/>
    </row>
    <row r="73" spans="2:8" ht="13.8" x14ac:dyDescent="0.25">
      <c r="B73" s="215" t="s">
        <v>31</v>
      </c>
      <c r="C73" s="216">
        <f t="shared" si="0"/>
        <v>3</v>
      </c>
      <c r="D73" s="216">
        <f t="shared" si="1"/>
        <v>27</v>
      </c>
      <c r="E73" s="216">
        <f t="shared" si="3"/>
        <v>81</v>
      </c>
      <c r="F73" s="216" t="str">
        <f t="shared" si="2"/>
        <v/>
      </c>
      <c r="G73" s="217" t="str">
        <f t="shared" si="4"/>
        <v/>
      </c>
      <c r="H73" s="207"/>
    </row>
    <row r="74" spans="2:8" ht="13.8" x14ac:dyDescent="0.25">
      <c r="B74" s="215" t="s">
        <v>397</v>
      </c>
      <c r="C74" s="216">
        <f t="shared" si="0"/>
        <v>3</v>
      </c>
      <c r="D74" s="216">
        <f t="shared" si="1"/>
        <v>42.3</v>
      </c>
      <c r="E74" s="216">
        <f t="shared" si="3"/>
        <v>126.89999999999999</v>
      </c>
      <c r="F74" s="216">
        <f t="shared" si="2"/>
        <v>0.87345679012345701</v>
      </c>
      <c r="G74" s="217">
        <f t="shared" si="4"/>
        <v>1.1084166666666668E-7</v>
      </c>
      <c r="H74" s="207"/>
    </row>
    <row r="75" spans="2:8" ht="13.8" x14ac:dyDescent="0.25">
      <c r="B75" s="215" t="s">
        <v>23</v>
      </c>
      <c r="C75" s="216">
        <f t="shared" si="0"/>
        <v>1</v>
      </c>
      <c r="D75" s="216">
        <f t="shared" si="1"/>
        <v>46.4</v>
      </c>
      <c r="E75" s="216">
        <f t="shared" si="3"/>
        <v>46.4</v>
      </c>
      <c r="F75" s="216" t="str">
        <f t="shared" si="2"/>
        <v/>
      </c>
      <c r="G75" s="217" t="str">
        <f t="shared" si="4"/>
        <v/>
      </c>
      <c r="H75" s="207"/>
    </row>
    <row r="76" spans="2:8" ht="13.8" x14ac:dyDescent="0.25">
      <c r="B76" s="215" t="s">
        <v>384</v>
      </c>
      <c r="C76" s="216">
        <f t="shared" si="0"/>
        <v>3</v>
      </c>
      <c r="D76" s="216">
        <f t="shared" si="1"/>
        <v>43</v>
      </c>
      <c r="E76" s="216">
        <f t="shared" si="3"/>
        <v>129</v>
      </c>
      <c r="F76" s="216">
        <f t="shared" si="2"/>
        <v>0.91328052400000004</v>
      </c>
      <c r="G76" s="217">
        <f t="shared" si="4"/>
        <v>1.17813187596E-7</v>
      </c>
      <c r="H76" s="207"/>
    </row>
    <row r="77" spans="2:8" ht="13.8" x14ac:dyDescent="0.25">
      <c r="B77" s="215" t="s">
        <v>425</v>
      </c>
      <c r="C77" s="216">
        <f t="shared" si="0"/>
        <v>3</v>
      </c>
      <c r="D77" s="216">
        <f t="shared" si="1"/>
        <v>44.3</v>
      </c>
      <c r="E77" s="216">
        <f t="shared" si="3"/>
        <v>132.89999999999998</v>
      </c>
      <c r="F77" s="216">
        <f t="shared" si="2"/>
        <v>0.70445880999999999</v>
      </c>
      <c r="G77" s="217">
        <f t="shared" si="4"/>
        <v>9.362257584899998E-8</v>
      </c>
      <c r="H77" s="207"/>
    </row>
    <row r="78" spans="2:8" ht="13.8" x14ac:dyDescent="0.25">
      <c r="B78" s="215" t="s">
        <v>400</v>
      </c>
      <c r="C78" s="216">
        <f t="shared" si="0"/>
        <v>3</v>
      </c>
      <c r="D78" s="216">
        <f t="shared" si="1"/>
        <v>44.1</v>
      </c>
      <c r="E78" s="216">
        <f t="shared" si="3"/>
        <v>132.30000000000001</v>
      </c>
      <c r="F78" s="216">
        <f t="shared" si="2"/>
        <v>0.81556195965417866</v>
      </c>
      <c r="G78" s="217">
        <f t="shared" si="4"/>
        <v>1.0789884726224785E-7</v>
      </c>
      <c r="H78" s="207"/>
    </row>
    <row r="79" spans="2:8" ht="13.8" x14ac:dyDescent="0.25">
      <c r="B79" s="215" t="s">
        <v>386</v>
      </c>
      <c r="C79" s="216">
        <f t="shared" si="0"/>
        <v>1</v>
      </c>
      <c r="D79" s="216">
        <f t="shared" si="1"/>
        <v>47.3</v>
      </c>
      <c r="E79" s="216">
        <f t="shared" si="3"/>
        <v>47.3</v>
      </c>
      <c r="F79" s="216">
        <f t="shared" si="2"/>
        <v>0.49354726194628523</v>
      </c>
      <c r="G79" s="217">
        <f t="shared" si="4"/>
        <v>2.3344785490059292E-8</v>
      </c>
      <c r="H79" s="207"/>
    </row>
    <row r="80" spans="2:8" ht="13.8" x14ac:dyDescent="0.25">
      <c r="B80" s="215" t="s">
        <v>26</v>
      </c>
      <c r="C80" s="216">
        <f t="shared" si="0"/>
        <v>3</v>
      </c>
      <c r="D80" s="216">
        <f t="shared" si="1"/>
        <v>40.200000000000003</v>
      </c>
      <c r="E80" s="216">
        <f t="shared" si="3"/>
        <v>120.60000000000001</v>
      </c>
      <c r="F80" s="216">
        <f t="shared" si="2"/>
        <v>0.89818497799999997</v>
      </c>
      <c r="G80" s="217">
        <f t="shared" si="4"/>
        <v>1.083211083468E-7</v>
      </c>
      <c r="H80" s="207"/>
    </row>
    <row r="81" spans="2:8" ht="13.8" x14ac:dyDescent="0.25">
      <c r="B81" s="215" t="s">
        <v>398</v>
      </c>
      <c r="C81" s="216">
        <f t="shared" si="0"/>
        <v>3</v>
      </c>
      <c r="D81" s="216">
        <f t="shared" si="1"/>
        <v>44.3</v>
      </c>
      <c r="E81" s="216">
        <f t="shared" si="3"/>
        <v>132.89999999999998</v>
      </c>
      <c r="F81" s="216">
        <f t="shared" si="2"/>
        <v>0.74534257599999998</v>
      </c>
      <c r="G81" s="217">
        <f t="shared" si="4"/>
        <v>9.9056028350399987E-8</v>
      </c>
      <c r="H81" s="207"/>
    </row>
    <row r="82" spans="2:8" ht="13.8" x14ac:dyDescent="0.25">
      <c r="B82" s="215" t="s">
        <v>24</v>
      </c>
      <c r="C82" s="216">
        <f t="shared" si="0"/>
        <v>3</v>
      </c>
      <c r="D82" s="216">
        <f t="shared" si="1"/>
        <v>44.5</v>
      </c>
      <c r="E82" s="216">
        <f t="shared" si="3"/>
        <v>133.5</v>
      </c>
      <c r="F82" s="216">
        <f t="shared" si="2"/>
        <v>0.72836008699999999</v>
      </c>
      <c r="G82" s="217">
        <f t="shared" si="4"/>
        <v>9.7236071614500001E-8</v>
      </c>
      <c r="H82" s="207"/>
    </row>
    <row r="83" spans="2:8" ht="13.8" x14ac:dyDescent="0.25">
      <c r="B83" s="215" t="s">
        <v>406</v>
      </c>
      <c r="C83" s="216">
        <f t="shared" si="0"/>
        <v>3</v>
      </c>
      <c r="D83" s="216">
        <f t="shared" si="1"/>
        <v>44.2</v>
      </c>
      <c r="E83" s="216">
        <f t="shared" si="3"/>
        <v>132.60000000000002</v>
      </c>
      <c r="F83" s="216" t="str">
        <f t="shared" si="2"/>
        <v/>
      </c>
      <c r="G83" s="217" t="str">
        <f t="shared" si="4"/>
        <v/>
      </c>
      <c r="H83" s="207"/>
    </row>
    <row r="84" spans="2:8" ht="13.8" x14ac:dyDescent="0.25">
      <c r="B84" s="215" t="s">
        <v>22</v>
      </c>
      <c r="C84" s="216">
        <f t="shared" ref="C84:C93" si="5">VLOOKUP(B84,Energy,2,FALSE)</f>
        <v>3</v>
      </c>
      <c r="D84" s="216">
        <f t="shared" ref="D84:D93" si="6">VLOOKUP(B84,fuelInfo,4,FALSE)</f>
        <v>27.5</v>
      </c>
      <c r="E84" s="216">
        <f t="shared" ref="E84:E93" si="7">C84*D84</f>
        <v>82.5</v>
      </c>
      <c r="F84" s="216" t="str">
        <f t="shared" ref="F84:F93" si="8">IF(VLOOKUP(B84,Density_Config,2,FALSE)=0,"",VLOOKUP(B84,Density_Config,2,FALSE))</f>
        <v/>
      </c>
      <c r="G84" s="217" t="str">
        <f t="shared" ref="G84:G93" si="9">IFERROR((E84/1000000000)*F84,"")</f>
        <v/>
      </c>
      <c r="H84" s="207"/>
    </row>
    <row r="85" spans="2:8" ht="13.8" x14ac:dyDescent="0.25">
      <c r="B85" s="215" t="s">
        <v>401</v>
      </c>
      <c r="C85" s="216">
        <f t="shared" si="5"/>
        <v>3</v>
      </c>
      <c r="D85" s="216">
        <f t="shared" si="6"/>
        <v>43.8</v>
      </c>
      <c r="E85" s="216">
        <f t="shared" si="7"/>
        <v>131.39999999999998</v>
      </c>
      <c r="F85" s="216">
        <f t="shared" si="8"/>
        <v>0.84832134292565942</v>
      </c>
      <c r="G85" s="217">
        <f t="shared" si="9"/>
        <v>1.1146942446043162E-7</v>
      </c>
      <c r="H85" s="207"/>
    </row>
    <row r="86" spans="2:8" ht="13.8" x14ac:dyDescent="0.25">
      <c r="B86" s="215" t="s">
        <v>422</v>
      </c>
      <c r="C86" s="216">
        <f t="shared" si="5"/>
        <v>3</v>
      </c>
      <c r="D86" s="216">
        <f t="shared" si="6"/>
        <v>27.4</v>
      </c>
      <c r="E86" s="216">
        <f t="shared" si="7"/>
        <v>82.199999999999989</v>
      </c>
      <c r="F86" s="216" t="str">
        <f t="shared" si="8"/>
        <v/>
      </c>
      <c r="G86" s="217" t="str">
        <f t="shared" si="9"/>
        <v/>
      </c>
      <c r="H86" s="207"/>
    </row>
    <row r="87" spans="2:8" ht="13.8" x14ac:dyDescent="0.25">
      <c r="B87" s="215" t="s">
        <v>409</v>
      </c>
      <c r="C87" s="216">
        <f t="shared" si="5"/>
        <v>1</v>
      </c>
      <c r="D87" s="216">
        <f t="shared" si="6"/>
        <v>49.5</v>
      </c>
      <c r="E87" s="216">
        <f t="shared" si="7"/>
        <v>49.5</v>
      </c>
      <c r="F87" s="216" t="str">
        <f t="shared" si="8"/>
        <v/>
      </c>
      <c r="G87" s="217" t="str">
        <f t="shared" si="9"/>
        <v/>
      </c>
      <c r="H87" s="207"/>
    </row>
    <row r="88" spans="2:8" ht="13.8" x14ac:dyDescent="0.25">
      <c r="B88" s="215" t="s">
        <v>408</v>
      </c>
      <c r="C88" s="216">
        <f t="shared" si="5"/>
        <v>3</v>
      </c>
      <c r="D88" s="216">
        <f t="shared" si="6"/>
        <v>43</v>
      </c>
      <c r="E88" s="216">
        <f t="shared" si="7"/>
        <v>129</v>
      </c>
      <c r="F88" s="216" t="str">
        <f t="shared" si="8"/>
        <v/>
      </c>
      <c r="G88" s="217" t="str">
        <f t="shared" si="9"/>
        <v/>
      </c>
      <c r="H88" s="207"/>
    </row>
    <row r="89" spans="2:8" ht="13.8" x14ac:dyDescent="0.25">
      <c r="B89" s="215" t="s">
        <v>385</v>
      </c>
      <c r="C89" s="216">
        <f t="shared" si="5"/>
        <v>3</v>
      </c>
      <c r="D89" s="216">
        <f t="shared" si="6"/>
        <v>40.4</v>
      </c>
      <c r="E89" s="216">
        <f t="shared" si="7"/>
        <v>121.19999999999999</v>
      </c>
      <c r="F89" s="216">
        <f t="shared" si="8"/>
        <v>0.96108308600000003</v>
      </c>
      <c r="G89" s="217">
        <f t="shared" si="9"/>
        <v>1.1648327002320001E-7</v>
      </c>
      <c r="H89" s="207"/>
    </row>
    <row r="90" spans="2:8" ht="13.8" x14ac:dyDescent="0.25">
      <c r="B90" s="215" t="s">
        <v>383</v>
      </c>
      <c r="C90" s="216">
        <f t="shared" si="5"/>
        <v>3</v>
      </c>
      <c r="D90" s="216">
        <f t="shared" si="6"/>
        <v>38.1</v>
      </c>
      <c r="E90" s="216">
        <f t="shared" si="7"/>
        <v>114.30000000000001</v>
      </c>
      <c r="F90" s="216" t="str">
        <f t="shared" si="8"/>
        <v/>
      </c>
      <c r="G90" s="217" t="str">
        <f t="shared" si="9"/>
        <v/>
      </c>
      <c r="H90" s="207"/>
    </row>
    <row r="91" spans="2:8" ht="13.8" x14ac:dyDescent="0.25">
      <c r="B91" s="215" t="s">
        <v>613</v>
      </c>
      <c r="C91" s="216">
        <f t="shared" si="5"/>
        <v>3</v>
      </c>
      <c r="D91" s="216">
        <f t="shared" si="6"/>
        <v>11.8</v>
      </c>
      <c r="E91" s="216">
        <f t="shared" si="7"/>
        <v>35.400000000000006</v>
      </c>
      <c r="F91" s="216" t="str">
        <f t="shared" si="8"/>
        <v/>
      </c>
      <c r="G91" s="217" t="str">
        <f t="shared" si="9"/>
        <v/>
      </c>
      <c r="H91" s="207"/>
    </row>
    <row r="92" spans="2:8" ht="13.8" x14ac:dyDescent="0.25">
      <c r="B92" s="215" t="s">
        <v>420</v>
      </c>
      <c r="C92" s="216">
        <f t="shared" si="5"/>
        <v>30</v>
      </c>
      <c r="D92" s="216">
        <f t="shared" si="6"/>
        <v>40.200000000000003</v>
      </c>
      <c r="E92" s="216">
        <f t="shared" si="7"/>
        <v>1206</v>
      </c>
      <c r="F92" s="216" t="str">
        <f t="shared" si="8"/>
        <v/>
      </c>
      <c r="G92" s="217" t="str">
        <f t="shared" si="9"/>
        <v/>
      </c>
      <c r="H92" s="207"/>
    </row>
    <row r="93" spans="2:8" ht="14.4" thickBot="1" x14ac:dyDescent="0.3">
      <c r="B93" s="218" t="s">
        <v>411</v>
      </c>
      <c r="C93" s="216">
        <f t="shared" si="5"/>
        <v>3</v>
      </c>
      <c r="D93" s="216">
        <f t="shared" si="6"/>
        <v>40.200000000000003</v>
      </c>
      <c r="E93" s="216">
        <f t="shared" si="7"/>
        <v>120.60000000000001</v>
      </c>
      <c r="F93" s="216" t="str">
        <f t="shared" si="8"/>
        <v/>
      </c>
      <c r="G93" s="217" t="str">
        <f t="shared" si="9"/>
        <v/>
      </c>
      <c r="H93" s="207"/>
    </row>
    <row r="94" spans="2:8" ht="14.4" thickBot="1" x14ac:dyDescent="0.3">
      <c r="B94" s="221" t="s">
        <v>259</v>
      </c>
      <c r="C94" s="222"/>
      <c r="D94" s="222"/>
      <c r="E94" s="222"/>
      <c r="F94" s="222"/>
      <c r="G94" s="223"/>
      <c r="H94" s="207"/>
    </row>
    <row r="95" spans="2:8" ht="13.8" x14ac:dyDescent="0.25">
      <c r="B95" s="207"/>
      <c r="C95" s="207"/>
      <c r="D95" s="207"/>
      <c r="E95" s="207"/>
      <c r="F95" s="207"/>
      <c r="G95" s="207"/>
      <c r="H95" s="207"/>
    </row>
    <row r="96" spans="2:8" ht="14.4" thickBot="1" x14ac:dyDescent="0.3">
      <c r="B96" s="207" t="s">
        <v>602</v>
      </c>
      <c r="C96" s="207"/>
      <c r="D96" s="207"/>
      <c r="E96" s="207"/>
      <c r="F96" s="207"/>
      <c r="G96" s="207"/>
      <c r="H96" s="207"/>
    </row>
    <row r="97" spans="2:8" ht="67.5" customHeight="1" thickBot="1" x14ac:dyDescent="0.3">
      <c r="B97" s="224" t="s">
        <v>21</v>
      </c>
      <c r="C97" s="208" t="s">
        <v>643</v>
      </c>
      <c r="D97" s="209" t="s">
        <v>644</v>
      </c>
      <c r="E97" s="210" t="s">
        <v>162</v>
      </c>
      <c r="F97" s="210" t="s">
        <v>163</v>
      </c>
      <c r="G97" s="211" t="s">
        <v>645</v>
      </c>
      <c r="H97" s="207"/>
    </row>
    <row r="98" spans="2:8" ht="13.8" x14ac:dyDescent="0.25">
      <c r="B98" s="212" t="s">
        <v>399</v>
      </c>
      <c r="C98" s="213">
        <f t="shared" ref="C98:C120" si="10">VLOOKUP(B98,Manufacturing,2,FALSE)</f>
        <v>3</v>
      </c>
      <c r="D98" s="213">
        <f t="shared" ref="D98:D120" si="11">VLOOKUP(B98,fuelInfo,4,FALSE)</f>
        <v>44.3</v>
      </c>
      <c r="E98" s="213">
        <f>C98*D98</f>
        <v>132.89999999999998</v>
      </c>
      <c r="F98" s="213">
        <f t="shared" ref="F98:F120" si="12">IF(VLOOKUP(B98,Density_Config,2,FALSE)=0,"",VLOOKUP(B98,Density_Config,2,FALSE))</f>
        <v>0.70445880999999999</v>
      </c>
      <c r="G98" s="214">
        <f t="shared" ref="G98:G120" si="13">IFERROR((E98/1000000000)*F98,"")</f>
        <v>9.362257584899998E-8</v>
      </c>
      <c r="H98" s="207"/>
    </row>
    <row r="99" spans="2:8" ht="13.8" x14ac:dyDescent="0.25">
      <c r="B99" s="215" t="s">
        <v>32</v>
      </c>
      <c r="C99" s="216">
        <f t="shared" si="10"/>
        <v>3</v>
      </c>
      <c r="D99" s="216">
        <f t="shared" si="11"/>
        <v>27</v>
      </c>
      <c r="E99" s="216">
        <f t="shared" ref="E99:E120" si="14">C99*D99</f>
        <v>81</v>
      </c>
      <c r="F99" s="216" t="str">
        <f t="shared" si="12"/>
        <v/>
      </c>
      <c r="G99" s="217" t="str">
        <f t="shared" si="13"/>
        <v/>
      </c>
      <c r="H99" s="207"/>
    </row>
    <row r="100" spans="2:8" ht="13.8" x14ac:dyDescent="0.25">
      <c r="B100" s="215" t="s">
        <v>31</v>
      </c>
      <c r="C100" s="216">
        <f t="shared" si="10"/>
        <v>3</v>
      </c>
      <c r="D100" s="216">
        <f t="shared" si="11"/>
        <v>27</v>
      </c>
      <c r="E100" s="216">
        <f t="shared" si="14"/>
        <v>81</v>
      </c>
      <c r="F100" s="216" t="str">
        <f t="shared" si="12"/>
        <v/>
      </c>
      <c r="G100" s="217" t="str">
        <f t="shared" si="13"/>
        <v/>
      </c>
      <c r="H100" s="207"/>
    </row>
    <row r="101" spans="2:8" ht="13.8" x14ac:dyDescent="0.25">
      <c r="B101" s="215" t="s">
        <v>397</v>
      </c>
      <c r="C101" s="216">
        <f t="shared" si="10"/>
        <v>3</v>
      </c>
      <c r="D101" s="216">
        <f t="shared" si="11"/>
        <v>42.3</v>
      </c>
      <c r="E101" s="216">
        <f t="shared" si="14"/>
        <v>126.89999999999999</v>
      </c>
      <c r="F101" s="216">
        <f t="shared" si="12"/>
        <v>0.87345679012345701</v>
      </c>
      <c r="G101" s="217">
        <f t="shared" si="13"/>
        <v>1.1084166666666668E-7</v>
      </c>
      <c r="H101" s="207"/>
    </row>
    <row r="102" spans="2:8" ht="13.8" x14ac:dyDescent="0.25">
      <c r="B102" s="215" t="s">
        <v>23</v>
      </c>
      <c r="C102" s="216">
        <f t="shared" si="10"/>
        <v>1</v>
      </c>
      <c r="D102" s="216">
        <f t="shared" si="11"/>
        <v>46.4</v>
      </c>
      <c r="E102" s="216">
        <f t="shared" si="14"/>
        <v>46.4</v>
      </c>
      <c r="F102" s="216" t="str">
        <f t="shared" si="12"/>
        <v/>
      </c>
      <c r="G102" s="217" t="str">
        <f t="shared" si="13"/>
        <v/>
      </c>
      <c r="H102" s="207"/>
    </row>
    <row r="103" spans="2:8" ht="13.8" x14ac:dyDescent="0.25">
      <c r="B103" s="215" t="s">
        <v>384</v>
      </c>
      <c r="C103" s="216">
        <f t="shared" si="10"/>
        <v>3</v>
      </c>
      <c r="D103" s="216">
        <f t="shared" si="11"/>
        <v>43</v>
      </c>
      <c r="E103" s="216">
        <f t="shared" si="14"/>
        <v>129</v>
      </c>
      <c r="F103" s="216">
        <f t="shared" si="12"/>
        <v>0.91328052400000004</v>
      </c>
      <c r="G103" s="217">
        <f t="shared" si="13"/>
        <v>1.17813187596E-7</v>
      </c>
      <c r="H103" s="207"/>
    </row>
    <row r="104" spans="2:8" ht="13.8" x14ac:dyDescent="0.25">
      <c r="B104" s="215" t="s">
        <v>425</v>
      </c>
      <c r="C104" s="216">
        <f t="shared" si="10"/>
        <v>3</v>
      </c>
      <c r="D104" s="216">
        <f t="shared" si="11"/>
        <v>44.3</v>
      </c>
      <c r="E104" s="216">
        <f t="shared" si="14"/>
        <v>132.89999999999998</v>
      </c>
      <c r="F104" s="216">
        <f t="shared" si="12"/>
        <v>0.70445880999999999</v>
      </c>
      <c r="G104" s="217">
        <f t="shared" si="13"/>
        <v>9.362257584899998E-8</v>
      </c>
      <c r="H104" s="207"/>
    </row>
    <row r="105" spans="2:8" ht="13.8" x14ac:dyDescent="0.25">
      <c r="B105" s="215" t="s">
        <v>400</v>
      </c>
      <c r="C105" s="216">
        <f t="shared" si="10"/>
        <v>3</v>
      </c>
      <c r="D105" s="216">
        <f t="shared" si="11"/>
        <v>44.1</v>
      </c>
      <c r="E105" s="216">
        <f t="shared" si="14"/>
        <v>132.30000000000001</v>
      </c>
      <c r="F105" s="216">
        <f t="shared" si="12"/>
        <v>0.81556195965417866</v>
      </c>
      <c r="G105" s="217">
        <f t="shared" si="13"/>
        <v>1.0789884726224785E-7</v>
      </c>
      <c r="H105" s="207"/>
    </row>
    <row r="106" spans="2:8" ht="13.8" x14ac:dyDescent="0.25">
      <c r="B106" s="215" t="s">
        <v>386</v>
      </c>
      <c r="C106" s="216">
        <f t="shared" si="10"/>
        <v>1</v>
      </c>
      <c r="D106" s="216">
        <f t="shared" si="11"/>
        <v>47.3</v>
      </c>
      <c r="E106" s="216">
        <f t="shared" si="14"/>
        <v>47.3</v>
      </c>
      <c r="F106" s="216">
        <f t="shared" si="12"/>
        <v>0.49354726194628523</v>
      </c>
      <c r="G106" s="217">
        <f t="shared" si="13"/>
        <v>2.3344785490059292E-8</v>
      </c>
      <c r="H106" s="207"/>
    </row>
    <row r="107" spans="2:8" ht="13.8" x14ac:dyDescent="0.25">
      <c r="B107" s="215" t="s">
        <v>26</v>
      </c>
      <c r="C107" s="216">
        <f t="shared" si="10"/>
        <v>3</v>
      </c>
      <c r="D107" s="216">
        <f t="shared" si="11"/>
        <v>40.200000000000003</v>
      </c>
      <c r="E107" s="216">
        <f t="shared" si="14"/>
        <v>120.60000000000001</v>
      </c>
      <c r="F107" s="216">
        <f t="shared" si="12"/>
        <v>0.89818497799999997</v>
      </c>
      <c r="G107" s="217">
        <f t="shared" si="13"/>
        <v>1.083211083468E-7</v>
      </c>
      <c r="H107" s="207"/>
    </row>
    <row r="108" spans="2:8" ht="13.8" x14ac:dyDescent="0.25">
      <c r="B108" s="215" t="s">
        <v>398</v>
      </c>
      <c r="C108" s="216">
        <f t="shared" si="10"/>
        <v>3</v>
      </c>
      <c r="D108" s="216">
        <f t="shared" si="11"/>
        <v>44.3</v>
      </c>
      <c r="E108" s="216">
        <f t="shared" si="14"/>
        <v>132.89999999999998</v>
      </c>
      <c r="F108" s="216">
        <f t="shared" si="12"/>
        <v>0.74534257599999998</v>
      </c>
      <c r="G108" s="217">
        <f t="shared" si="13"/>
        <v>9.9056028350399987E-8</v>
      </c>
      <c r="H108" s="207"/>
    </row>
    <row r="109" spans="2:8" ht="13.8" x14ac:dyDescent="0.25">
      <c r="B109" s="215" t="s">
        <v>24</v>
      </c>
      <c r="C109" s="216">
        <f t="shared" si="10"/>
        <v>3</v>
      </c>
      <c r="D109" s="216">
        <f t="shared" si="11"/>
        <v>44.5</v>
      </c>
      <c r="E109" s="216">
        <f t="shared" si="14"/>
        <v>133.5</v>
      </c>
      <c r="F109" s="216">
        <f t="shared" si="12"/>
        <v>0.72836008699999999</v>
      </c>
      <c r="G109" s="217">
        <f t="shared" si="13"/>
        <v>9.7236071614500001E-8</v>
      </c>
      <c r="H109" s="207"/>
    </row>
    <row r="110" spans="2:8" ht="13.8" x14ac:dyDescent="0.25">
      <c r="B110" s="215" t="s">
        <v>406</v>
      </c>
      <c r="C110" s="216">
        <f t="shared" si="10"/>
        <v>3</v>
      </c>
      <c r="D110" s="216">
        <f t="shared" si="11"/>
        <v>44.2</v>
      </c>
      <c r="E110" s="216">
        <f t="shared" si="14"/>
        <v>132.60000000000002</v>
      </c>
      <c r="F110" s="216" t="str">
        <f t="shared" si="12"/>
        <v/>
      </c>
      <c r="G110" s="217" t="str">
        <f t="shared" si="13"/>
        <v/>
      </c>
      <c r="H110" s="207"/>
    </row>
    <row r="111" spans="2:8" ht="13.8" x14ac:dyDescent="0.25">
      <c r="B111" s="215" t="s">
        <v>22</v>
      </c>
      <c r="C111" s="216">
        <f t="shared" ref="C111:C112" si="15">VLOOKUP(B111,Manufacturing,2,FALSE)</f>
        <v>3</v>
      </c>
      <c r="D111" s="216">
        <f t="shared" ref="D111:D112" si="16">VLOOKUP(B111,fuelInfo,4,FALSE)</f>
        <v>27.5</v>
      </c>
      <c r="E111" s="216">
        <f t="shared" ref="E111:E112" si="17">C111*D111</f>
        <v>82.5</v>
      </c>
      <c r="F111" s="216" t="str">
        <f t="shared" ref="F111:F112" si="18">IF(VLOOKUP(B111,Density_Config,2,FALSE)=0,"",VLOOKUP(B111,Density_Config,2,FALSE))</f>
        <v/>
      </c>
      <c r="G111" s="217" t="str">
        <f t="shared" ref="G111:G112" si="19">IFERROR((E111/1000000000)*F111,"")</f>
        <v/>
      </c>
      <c r="H111" s="207"/>
    </row>
    <row r="112" spans="2:8" ht="13.8" x14ac:dyDescent="0.25">
      <c r="B112" s="215" t="s">
        <v>401</v>
      </c>
      <c r="C112" s="216">
        <f t="shared" si="15"/>
        <v>3</v>
      </c>
      <c r="D112" s="216">
        <f t="shared" si="16"/>
        <v>43.8</v>
      </c>
      <c r="E112" s="216">
        <f t="shared" si="17"/>
        <v>131.39999999999998</v>
      </c>
      <c r="F112" s="216">
        <f t="shared" si="18"/>
        <v>0.84832134292565942</v>
      </c>
      <c r="G112" s="217">
        <f t="shared" si="19"/>
        <v>1.1146942446043162E-7</v>
      </c>
      <c r="H112" s="207"/>
    </row>
    <row r="113" spans="2:8" ht="13.8" x14ac:dyDescent="0.25">
      <c r="B113" s="215" t="s">
        <v>422</v>
      </c>
      <c r="C113" s="216">
        <f t="shared" si="10"/>
        <v>3</v>
      </c>
      <c r="D113" s="216">
        <f t="shared" si="11"/>
        <v>27.4</v>
      </c>
      <c r="E113" s="216">
        <f t="shared" si="14"/>
        <v>82.199999999999989</v>
      </c>
      <c r="F113" s="216" t="str">
        <f t="shared" si="12"/>
        <v/>
      </c>
      <c r="G113" s="217" t="str">
        <f t="shared" si="13"/>
        <v/>
      </c>
      <c r="H113" s="207"/>
    </row>
    <row r="114" spans="2:8" ht="13.8" x14ac:dyDescent="0.25">
      <c r="B114" s="215" t="s">
        <v>409</v>
      </c>
      <c r="C114" s="216">
        <f t="shared" si="10"/>
        <v>1</v>
      </c>
      <c r="D114" s="216">
        <f t="shared" si="11"/>
        <v>49.5</v>
      </c>
      <c r="E114" s="216">
        <f t="shared" si="14"/>
        <v>49.5</v>
      </c>
      <c r="F114" s="216" t="str">
        <f t="shared" si="12"/>
        <v/>
      </c>
      <c r="G114" s="217" t="str">
        <f t="shared" si="13"/>
        <v/>
      </c>
      <c r="H114" s="207"/>
    </row>
    <row r="115" spans="2:8" ht="13.8" x14ac:dyDescent="0.25">
      <c r="B115" s="215" t="s">
        <v>408</v>
      </c>
      <c r="C115" s="216">
        <f t="shared" si="10"/>
        <v>3</v>
      </c>
      <c r="D115" s="216">
        <f t="shared" si="11"/>
        <v>43</v>
      </c>
      <c r="E115" s="216">
        <f t="shared" si="14"/>
        <v>129</v>
      </c>
      <c r="F115" s="216" t="str">
        <f t="shared" si="12"/>
        <v/>
      </c>
      <c r="G115" s="217" t="str">
        <f t="shared" si="13"/>
        <v/>
      </c>
      <c r="H115" s="207"/>
    </row>
    <row r="116" spans="2:8" ht="13.8" x14ac:dyDescent="0.25">
      <c r="B116" s="215" t="s">
        <v>385</v>
      </c>
      <c r="C116" s="216">
        <f t="shared" si="10"/>
        <v>3</v>
      </c>
      <c r="D116" s="216">
        <f t="shared" si="11"/>
        <v>40.4</v>
      </c>
      <c r="E116" s="216">
        <f t="shared" si="14"/>
        <v>121.19999999999999</v>
      </c>
      <c r="F116" s="216">
        <f t="shared" si="12"/>
        <v>0.96108308600000003</v>
      </c>
      <c r="G116" s="217">
        <f t="shared" si="13"/>
        <v>1.1648327002320001E-7</v>
      </c>
      <c r="H116" s="207"/>
    </row>
    <row r="117" spans="2:8" ht="13.8" x14ac:dyDescent="0.25">
      <c r="B117" s="215" t="s">
        <v>383</v>
      </c>
      <c r="C117" s="216">
        <f t="shared" si="10"/>
        <v>3</v>
      </c>
      <c r="D117" s="216">
        <f t="shared" si="11"/>
        <v>38.1</v>
      </c>
      <c r="E117" s="216">
        <f t="shared" si="14"/>
        <v>114.30000000000001</v>
      </c>
      <c r="F117" s="216" t="str">
        <f t="shared" si="12"/>
        <v/>
      </c>
      <c r="G117" s="217" t="str">
        <f t="shared" si="13"/>
        <v/>
      </c>
      <c r="H117" s="207"/>
    </row>
    <row r="118" spans="2:8" ht="13.8" x14ac:dyDescent="0.25">
      <c r="B118" s="215" t="s">
        <v>613</v>
      </c>
      <c r="C118" s="216">
        <f t="shared" si="10"/>
        <v>3</v>
      </c>
      <c r="D118" s="216">
        <f t="shared" si="11"/>
        <v>11.8</v>
      </c>
      <c r="E118" s="216">
        <f t="shared" si="14"/>
        <v>35.400000000000006</v>
      </c>
      <c r="F118" s="216" t="str">
        <f t="shared" si="12"/>
        <v/>
      </c>
      <c r="G118" s="217" t="str">
        <f t="shared" si="13"/>
        <v/>
      </c>
      <c r="H118" s="207"/>
    </row>
    <row r="119" spans="2:8" ht="13.8" x14ac:dyDescent="0.25">
      <c r="B119" s="215" t="s">
        <v>420</v>
      </c>
      <c r="C119" s="216">
        <f t="shared" si="10"/>
        <v>30</v>
      </c>
      <c r="D119" s="216">
        <f t="shared" si="11"/>
        <v>40.200000000000003</v>
      </c>
      <c r="E119" s="216">
        <f t="shared" si="14"/>
        <v>1206</v>
      </c>
      <c r="F119" s="216" t="str">
        <f t="shared" si="12"/>
        <v/>
      </c>
      <c r="G119" s="217" t="str">
        <f t="shared" si="13"/>
        <v/>
      </c>
      <c r="H119" s="207"/>
    </row>
    <row r="120" spans="2:8" ht="14.4" thickBot="1" x14ac:dyDescent="0.3">
      <c r="B120" s="218" t="s">
        <v>411</v>
      </c>
      <c r="C120" s="219">
        <f t="shared" si="10"/>
        <v>3</v>
      </c>
      <c r="D120" s="219">
        <f t="shared" si="11"/>
        <v>40.200000000000003</v>
      </c>
      <c r="E120" s="219">
        <f t="shared" si="14"/>
        <v>120.60000000000001</v>
      </c>
      <c r="F120" s="219" t="str">
        <f t="shared" si="12"/>
        <v/>
      </c>
      <c r="G120" s="220" t="str">
        <f t="shared" si="13"/>
        <v/>
      </c>
      <c r="H120" s="207"/>
    </row>
    <row r="121" spans="2:8" ht="14.4" thickBot="1" x14ac:dyDescent="0.3">
      <c r="B121" s="221" t="s">
        <v>260</v>
      </c>
      <c r="C121" s="222"/>
      <c r="D121" s="222"/>
      <c r="E121" s="222"/>
      <c r="F121" s="222"/>
      <c r="G121" s="223"/>
      <c r="H121" s="207"/>
    </row>
    <row r="122" spans="2:8" ht="13.8" x14ac:dyDescent="0.25">
      <c r="B122" s="207"/>
      <c r="C122" s="207"/>
      <c r="D122" s="207"/>
      <c r="E122" s="207"/>
      <c r="F122" s="207"/>
      <c r="G122" s="207"/>
      <c r="H122" s="207"/>
    </row>
    <row r="123" spans="2:8" ht="14.4" thickBot="1" x14ac:dyDescent="0.3">
      <c r="B123" s="207" t="s">
        <v>603</v>
      </c>
      <c r="C123" s="207"/>
      <c r="D123" s="207"/>
      <c r="E123" s="207"/>
      <c r="F123" s="207"/>
      <c r="G123" s="207"/>
      <c r="H123" s="207"/>
    </row>
    <row r="124" spans="2:8" ht="69.599999999999994" thickBot="1" x14ac:dyDescent="0.3">
      <c r="B124" s="224" t="s">
        <v>21</v>
      </c>
      <c r="C124" s="208" t="s">
        <v>643</v>
      </c>
      <c r="D124" s="209" t="s">
        <v>644</v>
      </c>
      <c r="E124" s="210" t="s">
        <v>162</v>
      </c>
      <c r="F124" s="210" t="s">
        <v>163</v>
      </c>
      <c r="G124" s="211" t="s">
        <v>645</v>
      </c>
      <c r="H124" s="207"/>
    </row>
    <row r="125" spans="2:8" ht="13.8" x14ac:dyDescent="0.25">
      <c r="B125" s="212" t="s">
        <v>399</v>
      </c>
      <c r="C125" s="213">
        <f t="shared" ref="C125:C137" si="20">VLOOKUP(B125,Construction,2,FALSE)</f>
        <v>3</v>
      </c>
      <c r="D125" s="213">
        <f t="shared" ref="D125:D137" si="21">VLOOKUP(B125,fuelInfo,4,FALSE)</f>
        <v>44.3</v>
      </c>
      <c r="E125" s="213">
        <f t="shared" ref="E125:E137" si="22">C125*D125</f>
        <v>132.89999999999998</v>
      </c>
      <c r="F125" s="213">
        <f t="shared" ref="F125:F137" si="23">IF(VLOOKUP(B125,Density_Config,2,FALSE)=0,"",VLOOKUP(B125,Density_Config,2,FALSE))</f>
        <v>0.70445880999999999</v>
      </c>
      <c r="G125" s="214">
        <f t="shared" ref="G125:G137" si="24">IFERROR((E125/1000000000)*F125,"")</f>
        <v>9.362257584899998E-8</v>
      </c>
      <c r="H125" s="207"/>
    </row>
    <row r="126" spans="2:8" ht="13.8" x14ac:dyDescent="0.25">
      <c r="B126" s="215" t="s">
        <v>32</v>
      </c>
      <c r="C126" s="216">
        <f t="shared" si="20"/>
        <v>3</v>
      </c>
      <c r="D126" s="216">
        <f t="shared" si="21"/>
        <v>27</v>
      </c>
      <c r="E126" s="216">
        <f t="shared" si="22"/>
        <v>81</v>
      </c>
      <c r="F126" s="216" t="str">
        <f t="shared" si="23"/>
        <v/>
      </c>
      <c r="G126" s="217" t="str">
        <f t="shared" si="24"/>
        <v/>
      </c>
      <c r="H126" s="207"/>
    </row>
    <row r="127" spans="2:8" ht="13.8" x14ac:dyDescent="0.25">
      <c r="B127" s="215" t="s">
        <v>31</v>
      </c>
      <c r="C127" s="216">
        <f t="shared" si="20"/>
        <v>3</v>
      </c>
      <c r="D127" s="216">
        <f t="shared" si="21"/>
        <v>27</v>
      </c>
      <c r="E127" s="216">
        <f t="shared" si="22"/>
        <v>81</v>
      </c>
      <c r="F127" s="216" t="str">
        <f t="shared" si="23"/>
        <v/>
      </c>
      <c r="G127" s="217" t="str">
        <f t="shared" si="24"/>
        <v/>
      </c>
      <c r="H127" s="207"/>
    </row>
    <row r="128" spans="2:8" ht="13.8" x14ac:dyDescent="0.25">
      <c r="B128" s="215" t="s">
        <v>397</v>
      </c>
      <c r="C128" s="216">
        <f t="shared" si="20"/>
        <v>3</v>
      </c>
      <c r="D128" s="216">
        <f t="shared" si="21"/>
        <v>42.3</v>
      </c>
      <c r="E128" s="216">
        <f t="shared" si="22"/>
        <v>126.89999999999999</v>
      </c>
      <c r="F128" s="216">
        <f t="shared" si="23"/>
        <v>0.87345679012345701</v>
      </c>
      <c r="G128" s="217">
        <f t="shared" si="24"/>
        <v>1.1084166666666668E-7</v>
      </c>
      <c r="H128" s="207"/>
    </row>
    <row r="129" spans="2:8" ht="13.8" x14ac:dyDescent="0.25">
      <c r="B129" s="215" t="s">
        <v>23</v>
      </c>
      <c r="C129" s="216">
        <f t="shared" si="20"/>
        <v>1</v>
      </c>
      <c r="D129" s="216">
        <f t="shared" si="21"/>
        <v>46.4</v>
      </c>
      <c r="E129" s="216">
        <f t="shared" si="22"/>
        <v>46.4</v>
      </c>
      <c r="F129" s="216" t="str">
        <f t="shared" si="23"/>
        <v/>
      </c>
      <c r="G129" s="217" t="str">
        <f t="shared" si="24"/>
        <v/>
      </c>
      <c r="H129" s="207"/>
    </row>
    <row r="130" spans="2:8" ht="13.8" x14ac:dyDescent="0.25">
      <c r="B130" s="215" t="s">
        <v>384</v>
      </c>
      <c r="C130" s="216">
        <f t="shared" si="20"/>
        <v>3</v>
      </c>
      <c r="D130" s="216">
        <f t="shared" si="21"/>
        <v>43</v>
      </c>
      <c r="E130" s="216">
        <f t="shared" si="22"/>
        <v>129</v>
      </c>
      <c r="F130" s="216">
        <f t="shared" si="23"/>
        <v>0.91328052400000004</v>
      </c>
      <c r="G130" s="217">
        <f t="shared" si="24"/>
        <v>1.17813187596E-7</v>
      </c>
      <c r="H130" s="207"/>
    </row>
    <row r="131" spans="2:8" ht="13.8" x14ac:dyDescent="0.25">
      <c r="B131" s="215" t="s">
        <v>425</v>
      </c>
      <c r="C131" s="216">
        <f t="shared" si="20"/>
        <v>3</v>
      </c>
      <c r="D131" s="216">
        <f t="shared" si="21"/>
        <v>44.3</v>
      </c>
      <c r="E131" s="216">
        <f t="shared" si="22"/>
        <v>132.89999999999998</v>
      </c>
      <c r="F131" s="216">
        <f t="shared" si="23"/>
        <v>0.70445880999999999</v>
      </c>
      <c r="G131" s="217">
        <f t="shared" si="24"/>
        <v>9.362257584899998E-8</v>
      </c>
      <c r="H131" s="207"/>
    </row>
    <row r="132" spans="2:8" ht="13.8" x14ac:dyDescent="0.25">
      <c r="B132" s="215" t="s">
        <v>400</v>
      </c>
      <c r="C132" s="216">
        <f t="shared" si="20"/>
        <v>3</v>
      </c>
      <c r="D132" s="216">
        <f t="shared" si="21"/>
        <v>44.1</v>
      </c>
      <c r="E132" s="216">
        <f t="shared" si="22"/>
        <v>132.30000000000001</v>
      </c>
      <c r="F132" s="216">
        <f t="shared" si="23"/>
        <v>0.81556195965417866</v>
      </c>
      <c r="G132" s="217">
        <f t="shared" si="24"/>
        <v>1.0789884726224785E-7</v>
      </c>
      <c r="H132" s="207"/>
    </row>
    <row r="133" spans="2:8" ht="13.8" x14ac:dyDescent="0.25">
      <c r="B133" s="215" t="s">
        <v>386</v>
      </c>
      <c r="C133" s="216">
        <f t="shared" si="20"/>
        <v>1</v>
      </c>
      <c r="D133" s="216">
        <f t="shared" si="21"/>
        <v>47.3</v>
      </c>
      <c r="E133" s="216">
        <f t="shared" si="22"/>
        <v>47.3</v>
      </c>
      <c r="F133" s="216">
        <f t="shared" si="23"/>
        <v>0.49354726194628523</v>
      </c>
      <c r="G133" s="217">
        <f t="shared" si="24"/>
        <v>2.3344785490059292E-8</v>
      </c>
      <c r="H133" s="207"/>
    </row>
    <row r="134" spans="2:8" ht="13.8" x14ac:dyDescent="0.25">
      <c r="B134" s="215" t="s">
        <v>26</v>
      </c>
      <c r="C134" s="216">
        <f t="shared" si="20"/>
        <v>3</v>
      </c>
      <c r="D134" s="216">
        <f t="shared" si="21"/>
        <v>40.200000000000003</v>
      </c>
      <c r="E134" s="216">
        <f t="shared" si="22"/>
        <v>120.60000000000001</v>
      </c>
      <c r="F134" s="216">
        <f t="shared" si="23"/>
        <v>0.89818497799999997</v>
      </c>
      <c r="G134" s="217">
        <f t="shared" si="24"/>
        <v>1.083211083468E-7</v>
      </c>
      <c r="H134" s="207"/>
    </row>
    <row r="135" spans="2:8" ht="13.8" x14ac:dyDescent="0.25">
      <c r="B135" s="215" t="s">
        <v>398</v>
      </c>
      <c r="C135" s="216">
        <f t="shared" si="20"/>
        <v>3</v>
      </c>
      <c r="D135" s="216">
        <f t="shared" si="21"/>
        <v>44.3</v>
      </c>
      <c r="E135" s="216">
        <f t="shared" si="22"/>
        <v>132.89999999999998</v>
      </c>
      <c r="F135" s="216">
        <f t="shared" si="23"/>
        <v>0.74534257599999998</v>
      </c>
      <c r="G135" s="217">
        <f t="shared" si="24"/>
        <v>9.9056028350399987E-8</v>
      </c>
      <c r="H135" s="207"/>
    </row>
    <row r="136" spans="2:8" ht="13.8" x14ac:dyDescent="0.25">
      <c r="B136" s="215" t="s">
        <v>24</v>
      </c>
      <c r="C136" s="216">
        <f t="shared" si="20"/>
        <v>3</v>
      </c>
      <c r="D136" s="216">
        <f t="shared" si="21"/>
        <v>44.5</v>
      </c>
      <c r="E136" s="216">
        <f t="shared" si="22"/>
        <v>133.5</v>
      </c>
      <c r="F136" s="216">
        <f t="shared" si="23"/>
        <v>0.72836008699999999</v>
      </c>
      <c r="G136" s="217">
        <f t="shared" si="24"/>
        <v>9.7236071614500001E-8</v>
      </c>
      <c r="H136" s="207"/>
    </row>
    <row r="137" spans="2:8" ht="13.8" x14ac:dyDescent="0.25">
      <c r="B137" s="215" t="s">
        <v>406</v>
      </c>
      <c r="C137" s="216">
        <f t="shared" si="20"/>
        <v>3</v>
      </c>
      <c r="D137" s="216">
        <f t="shared" si="21"/>
        <v>44.2</v>
      </c>
      <c r="E137" s="216">
        <f t="shared" si="22"/>
        <v>132.60000000000002</v>
      </c>
      <c r="F137" s="216" t="str">
        <f t="shared" si="23"/>
        <v/>
      </c>
      <c r="G137" s="217" t="str">
        <f t="shared" si="24"/>
        <v/>
      </c>
      <c r="H137" s="207"/>
    </row>
    <row r="138" spans="2:8" ht="13.8" x14ac:dyDescent="0.25">
      <c r="B138" s="215" t="s">
        <v>22</v>
      </c>
      <c r="C138" s="216">
        <f t="shared" ref="C138:C147" si="25">VLOOKUP(B138,Construction,2,FALSE)</f>
        <v>3</v>
      </c>
      <c r="D138" s="216">
        <f t="shared" ref="D138:D147" si="26">VLOOKUP(B138,fuelInfo,4,FALSE)</f>
        <v>27.5</v>
      </c>
      <c r="E138" s="216">
        <f t="shared" ref="E138:E147" si="27">C138*D138</f>
        <v>82.5</v>
      </c>
      <c r="F138" s="216" t="str">
        <f t="shared" ref="F138:F147" si="28">IF(VLOOKUP(B138,Density_Config,2,FALSE)=0,"",VLOOKUP(B138,Density_Config,2,FALSE))</f>
        <v/>
      </c>
      <c r="G138" s="217" t="str">
        <f t="shared" ref="G138:G147" si="29">IFERROR((E138/1000000000)*F138,"")</f>
        <v/>
      </c>
      <c r="H138" s="207"/>
    </row>
    <row r="139" spans="2:8" ht="13.8" x14ac:dyDescent="0.25">
      <c r="B139" s="215" t="s">
        <v>401</v>
      </c>
      <c r="C139" s="216">
        <f t="shared" si="25"/>
        <v>3</v>
      </c>
      <c r="D139" s="216">
        <f t="shared" si="26"/>
        <v>43.8</v>
      </c>
      <c r="E139" s="216">
        <f t="shared" si="27"/>
        <v>131.39999999999998</v>
      </c>
      <c r="F139" s="216">
        <f t="shared" si="28"/>
        <v>0.84832134292565942</v>
      </c>
      <c r="G139" s="217">
        <f t="shared" si="29"/>
        <v>1.1146942446043162E-7</v>
      </c>
      <c r="H139" s="207"/>
    </row>
    <row r="140" spans="2:8" ht="13.8" x14ac:dyDescent="0.25">
      <c r="B140" s="215" t="s">
        <v>422</v>
      </c>
      <c r="C140" s="216">
        <f t="shared" si="25"/>
        <v>3</v>
      </c>
      <c r="D140" s="216">
        <f t="shared" si="26"/>
        <v>27.4</v>
      </c>
      <c r="E140" s="216">
        <f t="shared" si="27"/>
        <v>82.199999999999989</v>
      </c>
      <c r="F140" s="216" t="str">
        <f t="shared" si="28"/>
        <v/>
      </c>
      <c r="G140" s="217" t="str">
        <f t="shared" si="29"/>
        <v/>
      </c>
      <c r="H140" s="207"/>
    </row>
    <row r="141" spans="2:8" ht="13.8" x14ac:dyDescent="0.25">
      <c r="B141" s="215" t="s">
        <v>409</v>
      </c>
      <c r="C141" s="216">
        <f t="shared" si="25"/>
        <v>1</v>
      </c>
      <c r="D141" s="216">
        <f t="shared" si="26"/>
        <v>49.5</v>
      </c>
      <c r="E141" s="216">
        <f t="shared" si="27"/>
        <v>49.5</v>
      </c>
      <c r="F141" s="216" t="str">
        <f t="shared" si="28"/>
        <v/>
      </c>
      <c r="G141" s="217" t="str">
        <f t="shared" si="29"/>
        <v/>
      </c>
      <c r="H141" s="207"/>
    </row>
    <row r="142" spans="2:8" ht="13.8" x14ac:dyDescent="0.25">
      <c r="B142" s="215" t="s">
        <v>408</v>
      </c>
      <c r="C142" s="216">
        <f t="shared" si="25"/>
        <v>3</v>
      </c>
      <c r="D142" s="216">
        <f t="shared" si="26"/>
        <v>43</v>
      </c>
      <c r="E142" s="216">
        <f t="shared" si="27"/>
        <v>129</v>
      </c>
      <c r="F142" s="216" t="str">
        <f t="shared" si="28"/>
        <v/>
      </c>
      <c r="G142" s="217" t="str">
        <f t="shared" si="29"/>
        <v/>
      </c>
      <c r="H142" s="207"/>
    </row>
    <row r="143" spans="2:8" ht="13.8" x14ac:dyDescent="0.25">
      <c r="B143" s="215" t="s">
        <v>385</v>
      </c>
      <c r="C143" s="216">
        <f t="shared" si="25"/>
        <v>3</v>
      </c>
      <c r="D143" s="216">
        <f t="shared" si="26"/>
        <v>40.4</v>
      </c>
      <c r="E143" s="216">
        <f t="shared" si="27"/>
        <v>121.19999999999999</v>
      </c>
      <c r="F143" s="216">
        <f t="shared" si="28"/>
        <v>0.96108308600000003</v>
      </c>
      <c r="G143" s="217">
        <f t="shared" si="29"/>
        <v>1.1648327002320001E-7</v>
      </c>
      <c r="H143" s="207"/>
    </row>
    <row r="144" spans="2:8" ht="13.8" x14ac:dyDescent="0.25">
      <c r="B144" s="215" t="s">
        <v>383</v>
      </c>
      <c r="C144" s="216">
        <f t="shared" si="25"/>
        <v>3</v>
      </c>
      <c r="D144" s="216">
        <f t="shared" si="26"/>
        <v>38.1</v>
      </c>
      <c r="E144" s="216">
        <f t="shared" si="27"/>
        <v>114.30000000000001</v>
      </c>
      <c r="F144" s="216" t="str">
        <f t="shared" si="28"/>
        <v/>
      </c>
      <c r="G144" s="217" t="str">
        <f t="shared" si="29"/>
        <v/>
      </c>
      <c r="H144" s="207"/>
    </row>
    <row r="145" spans="2:8" ht="13.8" x14ac:dyDescent="0.25">
      <c r="B145" s="215" t="s">
        <v>613</v>
      </c>
      <c r="C145" s="216">
        <f t="shared" si="25"/>
        <v>3</v>
      </c>
      <c r="D145" s="216">
        <f t="shared" si="26"/>
        <v>11.8</v>
      </c>
      <c r="E145" s="216">
        <f t="shared" si="27"/>
        <v>35.400000000000006</v>
      </c>
      <c r="F145" s="216" t="str">
        <f t="shared" si="28"/>
        <v/>
      </c>
      <c r="G145" s="217" t="str">
        <f t="shared" si="29"/>
        <v/>
      </c>
      <c r="H145" s="207"/>
    </row>
    <row r="146" spans="2:8" ht="13.8" x14ac:dyDescent="0.25">
      <c r="B146" s="215" t="s">
        <v>420</v>
      </c>
      <c r="C146" s="216">
        <f t="shared" si="25"/>
        <v>30</v>
      </c>
      <c r="D146" s="216">
        <f t="shared" si="26"/>
        <v>40.200000000000003</v>
      </c>
      <c r="E146" s="216">
        <f t="shared" si="27"/>
        <v>1206</v>
      </c>
      <c r="F146" s="216" t="str">
        <f t="shared" si="28"/>
        <v/>
      </c>
      <c r="G146" s="217" t="str">
        <f t="shared" si="29"/>
        <v/>
      </c>
      <c r="H146" s="207"/>
    </row>
    <row r="147" spans="2:8" ht="14.4" thickBot="1" x14ac:dyDescent="0.3">
      <c r="B147" s="218" t="s">
        <v>411</v>
      </c>
      <c r="C147" s="216">
        <f t="shared" si="25"/>
        <v>3</v>
      </c>
      <c r="D147" s="216">
        <f t="shared" si="26"/>
        <v>40.200000000000003</v>
      </c>
      <c r="E147" s="216">
        <f t="shared" si="27"/>
        <v>120.60000000000001</v>
      </c>
      <c r="F147" s="216" t="str">
        <f t="shared" si="28"/>
        <v/>
      </c>
      <c r="G147" s="217" t="str">
        <f t="shared" si="29"/>
        <v/>
      </c>
      <c r="H147" s="207"/>
    </row>
    <row r="148" spans="2:8" ht="14.4" thickBot="1" x14ac:dyDescent="0.3">
      <c r="B148" s="221" t="s">
        <v>261</v>
      </c>
      <c r="C148" s="222"/>
      <c r="D148" s="222"/>
      <c r="E148" s="222"/>
      <c r="F148" s="222"/>
      <c r="G148" s="223"/>
      <c r="H148" s="207"/>
    </row>
    <row r="149" spans="2:8" ht="13.8" x14ac:dyDescent="0.25">
      <c r="B149" s="207"/>
      <c r="C149" s="207"/>
      <c r="D149" s="207"/>
      <c r="E149" s="207"/>
      <c r="F149" s="207"/>
      <c r="G149" s="207"/>
      <c r="H149" s="207"/>
    </row>
    <row r="150" spans="2:8" ht="14.4" thickBot="1" x14ac:dyDescent="0.3">
      <c r="B150" s="207" t="s">
        <v>604</v>
      </c>
      <c r="C150" s="207"/>
      <c r="D150" s="207"/>
      <c r="E150" s="207"/>
      <c r="F150" s="207"/>
      <c r="G150" s="207"/>
      <c r="H150" s="207"/>
    </row>
    <row r="151" spans="2:8" ht="69.599999999999994" thickBot="1" x14ac:dyDescent="0.3">
      <c r="B151" s="224" t="s">
        <v>21</v>
      </c>
      <c r="C151" s="208" t="s">
        <v>643</v>
      </c>
      <c r="D151" s="209" t="s">
        <v>644</v>
      </c>
      <c r="E151" s="210" t="s">
        <v>162</v>
      </c>
      <c r="F151" s="210" t="s">
        <v>163</v>
      </c>
      <c r="G151" s="211" t="s">
        <v>645</v>
      </c>
      <c r="H151" s="207"/>
    </row>
    <row r="152" spans="2:8" ht="13.8" x14ac:dyDescent="0.25">
      <c r="B152" s="212" t="s">
        <v>399</v>
      </c>
      <c r="C152" s="213">
        <f t="shared" ref="C152:C174" si="30">VLOOKUP(B152,Commercial,2,FALSE)</f>
        <v>10</v>
      </c>
      <c r="D152" s="213">
        <f t="shared" ref="D152:D174" si="31">VLOOKUP(B152,fuelInfo,4,FALSE)</f>
        <v>44.3</v>
      </c>
      <c r="E152" s="213">
        <f>C152*D152</f>
        <v>443</v>
      </c>
      <c r="F152" s="213">
        <f t="shared" ref="F152:F174" si="32">IF(VLOOKUP(B152,Density_Config,2,FALSE)=0,"",VLOOKUP(B152,Density_Config,2,FALSE))</f>
        <v>0.70445880999999999</v>
      </c>
      <c r="G152" s="214">
        <f t="shared" ref="G152:G174" si="33">IFERROR((E152/1000000000)*F152,"")</f>
        <v>3.1207525282999997E-7</v>
      </c>
      <c r="H152" s="207"/>
    </row>
    <row r="153" spans="2:8" ht="13.8" x14ac:dyDescent="0.25">
      <c r="B153" s="215" t="s">
        <v>32</v>
      </c>
      <c r="C153" s="216">
        <f t="shared" si="30"/>
        <v>10</v>
      </c>
      <c r="D153" s="216">
        <f t="shared" si="31"/>
        <v>27</v>
      </c>
      <c r="E153" s="216">
        <f t="shared" ref="E153:E174" si="34">C153*D153</f>
        <v>270</v>
      </c>
      <c r="F153" s="216" t="str">
        <f t="shared" si="32"/>
        <v/>
      </c>
      <c r="G153" s="217" t="str">
        <f t="shared" si="33"/>
        <v/>
      </c>
      <c r="H153" s="207"/>
    </row>
    <row r="154" spans="2:8" ht="13.8" x14ac:dyDescent="0.25">
      <c r="B154" s="215" t="s">
        <v>31</v>
      </c>
      <c r="C154" s="216">
        <f t="shared" si="30"/>
        <v>10</v>
      </c>
      <c r="D154" s="216">
        <f t="shared" si="31"/>
        <v>27</v>
      </c>
      <c r="E154" s="216">
        <f t="shared" si="34"/>
        <v>270</v>
      </c>
      <c r="F154" s="216" t="str">
        <f t="shared" si="32"/>
        <v/>
      </c>
      <c r="G154" s="217" t="str">
        <f t="shared" si="33"/>
        <v/>
      </c>
      <c r="H154" s="207"/>
    </row>
    <row r="155" spans="2:8" ht="13.8" x14ac:dyDescent="0.25">
      <c r="B155" s="215" t="s">
        <v>397</v>
      </c>
      <c r="C155" s="216">
        <f t="shared" si="30"/>
        <v>10</v>
      </c>
      <c r="D155" s="216">
        <f t="shared" si="31"/>
        <v>42.3</v>
      </c>
      <c r="E155" s="216">
        <f t="shared" si="34"/>
        <v>423</v>
      </c>
      <c r="F155" s="216">
        <f t="shared" si="32"/>
        <v>0.87345679012345701</v>
      </c>
      <c r="G155" s="217">
        <f t="shared" si="33"/>
        <v>3.6947222222222232E-7</v>
      </c>
      <c r="H155" s="207"/>
    </row>
    <row r="156" spans="2:8" ht="13.8" x14ac:dyDescent="0.25">
      <c r="B156" s="215" t="s">
        <v>23</v>
      </c>
      <c r="C156" s="216">
        <f t="shared" si="30"/>
        <v>5</v>
      </c>
      <c r="D156" s="216">
        <f t="shared" si="31"/>
        <v>46.4</v>
      </c>
      <c r="E156" s="216">
        <f t="shared" si="34"/>
        <v>232</v>
      </c>
      <c r="F156" s="216" t="str">
        <f t="shared" si="32"/>
        <v/>
      </c>
      <c r="G156" s="217" t="str">
        <f t="shared" si="33"/>
        <v/>
      </c>
      <c r="H156" s="207"/>
    </row>
    <row r="157" spans="2:8" ht="13.8" x14ac:dyDescent="0.25">
      <c r="B157" s="215" t="s">
        <v>384</v>
      </c>
      <c r="C157" s="216">
        <f t="shared" si="30"/>
        <v>10</v>
      </c>
      <c r="D157" s="216">
        <f t="shared" si="31"/>
        <v>43</v>
      </c>
      <c r="E157" s="216">
        <f t="shared" si="34"/>
        <v>430</v>
      </c>
      <c r="F157" s="216">
        <f t="shared" si="32"/>
        <v>0.91328052400000004</v>
      </c>
      <c r="G157" s="217">
        <f t="shared" si="33"/>
        <v>3.9271062532000001E-7</v>
      </c>
      <c r="H157" s="207"/>
    </row>
    <row r="158" spans="2:8" ht="13.8" x14ac:dyDescent="0.25">
      <c r="B158" s="215" t="s">
        <v>425</v>
      </c>
      <c r="C158" s="216">
        <f t="shared" si="30"/>
        <v>10</v>
      </c>
      <c r="D158" s="216">
        <f t="shared" si="31"/>
        <v>44.3</v>
      </c>
      <c r="E158" s="216">
        <f t="shared" si="34"/>
        <v>443</v>
      </c>
      <c r="F158" s="216">
        <f t="shared" si="32"/>
        <v>0.70445880999999999</v>
      </c>
      <c r="G158" s="217">
        <f t="shared" si="33"/>
        <v>3.1207525282999997E-7</v>
      </c>
      <c r="H158" s="207"/>
    </row>
    <row r="159" spans="2:8" ht="13.8" x14ac:dyDescent="0.25">
      <c r="B159" s="215" t="s">
        <v>400</v>
      </c>
      <c r="C159" s="216">
        <f t="shared" si="30"/>
        <v>10</v>
      </c>
      <c r="D159" s="216">
        <f t="shared" si="31"/>
        <v>44.1</v>
      </c>
      <c r="E159" s="216">
        <f t="shared" si="34"/>
        <v>441</v>
      </c>
      <c r="F159" s="216">
        <f t="shared" si="32"/>
        <v>0.81556195965417866</v>
      </c>
      <c r="G159" s="217">
        <f t="shared" si="33"/>
        <v>3.596628242074928E-7</v>
      </c>
      <c r="H159" s="207"/>
    </row>
    <row r="160" spans="2:8" ht="13.8" x14ac:dyDescent="0.25">
      <c r="B160" s="215" t="s">
        <v>386</v>
      </c>
      <c r="C160" s="216">
        <f t="shared" si="30"/>
        <v>5</v>
      </c>
      <c r="D160" s="216">
        <f t="shared" si="31"/>
        <v>47.3</v>
      </c>
      <c r="E160" s="216">
        <f t="shared" si="34"/>
        <v>236.5</v>
      </c>
      <c r="F160" s="216">
        <f t="shared" si="32"/>
        <v>0.49354726194628523</v>
      </c>
      <c r="G160" s="217">
        <f t="shared" si="33"/>
        <v>1.1672392745029646E-7</v>
      </c>
      <c r="H160" s="207"/>
    </row>
    <row r="161" spans="2:8" ht="13.8" x14ac:dyDescent="0.25">
      <c r="B161" s="215" t="s">
        <v>26</v>
      </c>
      <c r="C161" s="216">
        <f t="shared" si="30"/>
        <v>10</v>
      </c>
      <c r="D161" s="216">
        <f t="shared" si="31"/>
        <v>40.200000000000003</v>
      </c>
      <c r="E161" s="216">
        <f t="shared" si="34"/>
        <v>402</v>
      </c>
      <c r="F161" s="216">
        <f t="shared" si="32"/>
        <v>0.89818497799999997</v>
      </c>
      <c r="G161" s="217">
        <f t="shared" si="33"/>
        <v>3.6107036115599999E-7</v>
      </c>
      <c r="H161" s="207"/>
    </row>
    <row r="162" spans="2:8" ht="13.8" x14ac:dyDescent="0.25">
      <c r="B162" s="215" t="s">
        <v>398</v>
      </c>
      <c r="C162" s="216">
        <f t="shared" si="30"/>
        <v>10</v>
      </c>
      <c r="D162" s="216">
        <f t="shared" si="31"/>
        <v>44.3</v>
      </c>
      <c r="E162" s="216">
        <f t="shared" si="34"/>
        <v>443</v>
      </c>
      <c r="F162" s="216">
        <f t="shared" si="32"/>
        <v>0.74534257599999998</v>
      </c>
      <c r="G162" s="217">
        <f t="shared" si="33"/>
        <v>3.3018676116799996E-7</v>
      </c>
      <c r="H162" s="207"/>
    </row>
    <row r="163" spans="2:8" ht="13.8" x14ac:dyDescent="0.25">
      <c r="B163" s="215" t="s">
        <v>24</v>
      </c>
      <c r="C163" s="216">
        <f t="shared" si="30"/>
        <v>10</v>
      </c>
      <c r="D163" s="216">
        <f t="shared" si="31"/>
        <v>44.5</v>
      </c>
      <c r="E163" s="216">
        <f t="shared" si="34"/>
        <v>445</v>
      </c>
      <c r="F163" s="216">
        <f t="shared" si="32"/>
        <v>0.72836008699999999</v>
      </c>
      <c r="G163" s="217">
        <f t="shared" si="33"/>
        <v>3.2412023871499998E-7</v>
      </c>
      <c r="H163" s="207"/>
    </row>
    <row r="164" spans="2:8" ht="13.8" x14ac:dyDescent="0.25">
      <c r="B164" s="215" t="s">
        <v>406</v>
      </c>
      <c r="C164" s="216">
        <f t="shared" si="30"/>
        <v>10</v>
      </c>
      <c r="D164" s="216">
        <f t="shared" si="31"/>
        <v>44.2</v>
      </c>
      <c r="E164" s="216">
        <f t="shared" si="34"/>
        <v>442</v>
      </c>
      <c r="F164" s="216" t="str">
        <f t="shared" si="32"/>
        <v/>
      </c>
      <c r="G164" s="217" t="str">
        <f t="shared" si="33"/>
        <v/>
      </c>
      <c r="H164" s="207"/>
    </row>
    <row r="165" spans="2:8" ht="13.8" x14ac:dyDescent="0.25">
      <c r="B165" s="215" t="s">
        <v>22</v>
      </c>
      <c r="C165" s="216">
        <f t="shared" ref="C165:C173" si="35">VLOOKUP(B165,Commercial,2,FALSE)</f>
        <v>10</v>
      </c>
      <c r="D165" s="216">
        <f t="shared" ref="D165:D173" si="36">VLOOKUP(B165,fuelInfo,4,FALSE)</f>
        <v>27.5</v>
      </c>
      <c r="E165" s="216">
        <f t="shared" ref="E165:E173" si="37">C165*D165</f>
        <v>275</v>
      </c>
      <c r="F165" s="216" t="str">
        <f t="shared" ref="F165:F173" si="38">IF(VLOOKUP(B165,Density_Config,2,FALSE)=0,"",VLOOKUP(B165,Density_Config,2,FALSE))</f>
        <v/>
      </c>
      <c r="G165" s="217" t="str">
        <f t="shared" ref="G165:G173" si="39">IFERROR((E165/1000000000)*F165,"")</f>
        <v/>
      </c>
      <c r="H165" s="207"/>
    </row>
    <row r="166" spans="2:8" ht="13.8" x14ac:dyDescent="0.25">
      <c r="B166" s="215" t="s">
        <v>401</v>
      </c>
      <c r="C166" s="216">
        <f t="shared" si="35"/>
        <v>10</v>
      </c>
      <c r="D166" s="216">
        <f t="shared" si="36"/>
        <v>43.8</v>
      </c>
      <c r="E166" s="216">
        <f t="shared" si="37"/>
        <v>438</v>
      </c>
      <c r="F166" s="216">
        <f t="shared" si="38"/>
        <v>0.84832134292565942</v>
      </c>
      <c r="G166" s="217">
        <f t="shared" si="39"/>
        <v>3.7156474820143883E-7</v>
      </c>
      <c r="H166" s="207"/>
    </row>
    <row r="167" spans="2:8" ht="13.8" x14ac:dyDescent="0.25">
      <c r="B167" s="215" t="s">
        <v>422</v>
      </c>
      <c r="C167" s="216">
        <f t="shared" si="35"/>
        <v>10</v>
      </c>
      <c r="D167" s="216">
        <f t="shared" si="36"/>
        <v>27.4</v>
      </c>
      <c r="E167" s="216">
        <f t="shared" si="37"/>
        <v>274</v>
      </c>
      <c r="F167" s="216" t="str">
        <f t="shared" si="38"/>
        <v/>
      </c>
      <c r="G167" s="217" t="str">
        <f t="shared" si="39"/>
        <v/>
      </c>
      <c r="H167" s="207"/>
    </row>
    <row r="168" spans="2:8" ht="13.8" x14ac:dyDescent="0.25">
      <c r="B168" s="215" t="s">
        <v>409</v>
      </c>
      <c r="C168" s="216">
        <f t="shared" si="35"/>
        <v>5</v>
      </c>
      <c r="D168" s="216">
        <f t="shared" si="36"/>
        <v>49.5</v>
      </c>
      <c r="E168" s="216">
        <f t="shared" si="37"/>
        <v>247.5</v>
      </c>
      <c r="F168" s="216" t="str">
        <f t="shared" si="38"/>
        <v/>
      </c>
      <c r="G168" s="217" t="str">
        <f t="shared" si="39"/>
        <v/>
      </c>
      <c r="H168" s="207"/>
    </row>
    <row r="169" spans="2:8" ht="13.8" x14ac:dyDescent="0.25">
      <c r="B169" s="215" t="s">
        <v>408</v>
      </c>
      <c r="C169" s="216">
        <f t="shared" si="35"/>
        <v>10</v>
      </c>
      <c r="D169" s="216">
        <f t="shared" si="36"/>
        <v>43</v>
      </c>
      <c r="E169" s="216">
        <f t="shared" si="37"/>
        <v>430</v>
      </c>
      <c r="F169" s="216" t="str">
        <f t="shared" si="38"/>
        <v/>
      </c>
      <c r="G169" s="217" t="str">
        <f t="shared" si="39"/>
        <v/>
      </c>
      <c r="H169" s="207"/>
    </row>
    <row r="170" spans="2:8" ht="13.8" x14ac:dyDescent="0.25">
      <c r="B170" s="215" t="s">
        <v>385</v>
      </c>
      <c r="C170" s="216">
        <f t="shared" si="35"/>
        <v>10</v>
      </c>
      <c r="D170" s="216">
        <f t="shared" si="36"/>
        <v>40.4</v>
      </c>
      <c r="E170" s="216">
        <f t="shared" si="37"/>
        <v>404</v>
      </c>
      <c r="F170" s="216">
        <f t="shared" si="38"/>
        <v>0.96108308600000003</v>
      </c>
      <c r="G170" s="217">
        <f t="shared" si="39"/>
        <v>3.8827756674400001E-7</v>
      </c>
      <c r="H170" s="207"/>
    </row>
    <row r="171" spans="2:8" ht="13.8" x14ac:dyDescent="0.25">
      <c r="B171" s="215" t="s">
        <v>383</v>
      </c>
      <c r="C171" s="216">
        <f t="shared" si="35"/>
        <v>10</v>
      </c>
      <c r="D171" s="216">
        <f t="shared" si="36"/>
        <v>38.1</v>
      </c>
      <c r="E171" s="216">
        <f t="shared" si="37"/>
        <v>381</v>
      </c>
      <c r="F171" s="216" t="str">
        <f t="shared" si="38"/>
        <v/>
      </c>
      <c r="G171" s="217" t="str">
        <f t="shared" si="39"/>
        <v/>
      </c>
      <c r="H171" s="207"/>
    </row>
    <row r="172" spans="2:8" ht="13.8" x14ac:dyDescent="0.25">
      <c r="B172" s="215" t="s">
        <v>613</v>
      </c>
      <c r="C172" s="216">
        <f t="shared" si="35"/>
        <v>3</v>
      </c>
      <c r="D172" s="216">
        <f t="shared" si="36"/>
        <v>11.8</v>
      </c>
      <c r="E172" s="216">
        <f t="shared" si="37"/>
        <v>35.400000000000006</v>
      </c>
      <c r="F172" s="216" t="str">
        <f t="shared" si="38"/>
        <v/>
      </c>
      <c r="G172" s="217" t="str">
        <f t="shared" si="39"/>
        <v/>
      </c>
      <c r="H172" s="207"/>
    </row>
    <row r="173" spans="2:8" ht="13.8" x14ac:dyDescent="0.25">
      <c r="B173" s="215" t="s">
        <v>420</v>
      </c>
      <c r="C173" s="216">
        <f t="shared" si="35"/>
        <v>300</v>
      </c>
      <c r="D173" s="216">
        <f t="shared" si="36"/>
        <v>40.200000000000003</v>
      </c>
      <c r="E173" s="216">
        <f t="shared" si="37"/>
        <v>12060</v>
      </c>
      <c r="F173" s="216" t="str">
        <f t="shared" si="38"/>
        <v/>
      </c>
      <c r="G173" s="217" t="str">
        <f t="shared" si="39"/>
        <v/>
      </c>
      <c r="H173" s="207"/>
    </row>
    <row r="174" spans="2:8" ht="14.4" thickBot="1" x14ac:dyDescent="0.3">
      <c r="B174" s="218" t="s">
        <v>411</v>
      </c>
      <c r="C174" s="219">
        <f t="shared" si="30"/>
        <v>10</v>
      </c>
      <c r="D174" s="219">
        <f t="shared" si="31"/>
        <v>40.200000000000003</v>
      </c>
      <c r="E174" s="219">
        <f t="shared" si="34"/>
        <v>402</v>
      </c>
      <c r="F174" s="219" t="str">
        <f t="shared" si="32"/>
        <v/>
      </c>
      <c r="G174" s="220" t="str">
        <f t="shared" si="33"/>
        <v/>
      </c>
      <c r="H174" s="207"/>
    </row>
    <row r="175" spans="2:8" ht="14.4" thickBot="1" x14ac:dyDescent="0.3">
      <c r="B175" s="221" t="s">
        <v>262</v>
      </c>
      <c r="C175" s="222"/>
      <c r="D175" s="222"/>
      <c r="E175" s="222"/>
      <c r="F175" s="222"/>
      <c r="G175" s="223"/>
      <c r="H175" s="207"/>
    </row>
    <row r="176" spans="2:8" ht="13.8" x14ac:dyDescent="0.25">
      <c r="B176" s="207"/>
      <c r="C176" s="207"/>
      <c r="D176" s="207"/>
      <c r="E176" s="207"/>
      <c r="F176" s="207"/>
      <c r="G176" s="207"/>
      <c r="H176" s="207"/>
    </row>
    <row r="177" spans="2:8" ht="14.4" thickBot="1" x14ac:dyDescent="0.3">
      <c r="B177" s="207" t="s">
        <v>606</v>
      </c>
      <c r="C177" s="207"/>
      <c r="D177" s="207"/>
      <c r="E177" s="207"/>
      <c r="F177" s="207"/>
      <c r="G177" s="207"/>
      <c r="H177" s="207"/>
    </row>
    <row r="178" spans="2:8" ht="69.599999999999994" thickBot="1" x14ac:dyDescent="0.3">
      <c r="B178" s="224" t="s">
        <v>21</v>
      </c>
      <c r="C178" s="208" t="s">
        <v>643</v>
      </c>
      <c r="D178" s="209" t="s">
        <v>644</v>
      </c>
      <c r="E178" s="210" t="s">
        <v>162</v>
      </c>
      <c r="F178" s="210" t="s">
        <v>163</v>
      </c>
      <c r="G178" s="211" t="s">
        <v>645</v>
      </c>
      <c r="H178" s="207"/>
    </row>
    <row r="179" spans="2:8" ht="13.8" x14ac:dyDescent="0.25">
      <c r="B179" s="212" t="s">
        <v>399</v>
      </c>
      <c r="C179" s="213">
        <f t="shared" ref="C179:C201" si="40">VLOOKUP(B179,Institutional,2,FALSE)</f>
        <v>10</v>
      </c>
      <c r="D179" s="213">
        <f t="shared" ref="D179:D201" si="41">VLOOKUP(B179,fuelInfo,4,FALSE)</f>
        <v>44.3</v>
      </c>
      <c r="E179" s="213">
        <f>C179*D179</f>
        <v>443</v>
      </c>
      <c r="F179" s="213">
        <f t="shared" ref="F179:F201" si="42">IF(VLOOKUP(B179,Density_Config,2,FALSE)=0,"",VLOOKUP(B179,Density_Config,2,FALSE))</f>
        <v>0.70445880999999999</v>
      </c>
      <c r="G179" s="214">
        <f t="shared" ref="G179:G201" si="43">IFERROR((E179/1000000000)*F179,"")</f>
        <v>3.1207525282999997E-7</v>
      </c>
      <c r="H179" s="207"/>
    </row>
    <row r="180" spans="2:8" ht="13.8" x14ac:dyDescent="0.25">
      <c r="B180" s="215" t="s">
        <v>32</v>
      </c>
      <c r="C180" s="216">
        <f t="shared" si="40"/>
        <v>10</v>
      </c>
      <c r="D180" s="216">
        <f t="shared" si="41"/>
        <v>27</v>
      </c>
      <c r="E180" s="216">
        <f t="shared" ref="E180:E201" si="44">C180*D180</f>
        <v>270</v>
      </c>
      <c r="F180" s="216" t="str">
        <f t="shared" si="42"/>
        <v/>
      </c>
      <c r="G180" s="217" t="str">
        <f t="shared" si="43"/>
        <v/>
      </c>
      <c r="H180" s="207"/>
    </row>
    <row r="181" spans="2:8" ht="13.8" x14ac:dyDescent="0.25">
      <c r="B181" s="215" t="s">
        <v>31</v>
      </c>
      <c r="C181" s="216">
        <f t="shared" si="40"/>
        <v>10</v>
      </c>
      <c r="D181" s="216">
        <f t="shared" si="41"/>
        <v>27</v>
      </c>
      <c r="E181" s="216">
        <f t="shared" si="44"/>
        <v>270</v>
      </c>
      <c r="F181" s="216" t="str">
        <f t="shared" si="42"/>
        <v/>
      </c>
      <c r="G181" s="217" t="str">
        <f t="shared" si="43"/>
        <v/>
      </c>
      <c r="H181" s="207"/>
    </row>
    <row r="182" spans="2:8" ht="13.8" x14ac:dyDescent="0.25">
      <c r="B182" s="215" t="s">
        <v>397</v>
      </c>
      <c r="C182" s="216">
        <f t="shared" si="40"/>
        <v>10</v>
      </c>
      <c r="D182" s="216">
        <f t="shared" si="41"/>
        <v>42.3</v>
      </c>
      <c r="E182" s="216">
        <f t="shared" si="44"/>
        <v>423</v>
      </c>
      <c r="F182" s="216">
        <f t="shared" si="42"/>
        <v>0.87345679012345701</v>
      </c>
      <c r="G182" s="217">
        <f t="shared" si="43"/>
        <v>3.6947222222222232E-7</v>
      </c>
      <c r="H182" s="207"/>
    </row>
    <row r="183" spans="2:8" ht="13.8" x14ac:dyDescent="0.25">
      <c r="B183" s="215" t="s">
        <v>23</v>
      </c>
      <c r="C183" s="216">
        <f t="shared" si="40"/>
        <v>5</v>
      </c>
      <c r="D183" s="216">
        <f t="shared" si="41"/>
        <v>46.4</v>
      </c>
      <c r="E183" s="216">
        <f t="shared" si="44"/>
        <v>232</v>
      </c>
      <c r="F183" s="216" t="str">
        <f t="shared" si="42"/>
        <v/>
      </c>
      <c r="G183" s="217" t="str">
        <f t="shared" si="43"/>
        <v/>
      </c>
      <c r="H183" s="207"/>
    </row>
    <row r="184" spans="2:8" ht="13.8" x14ac:dyDescent="0.25">
      <c r="B184" s="215" t="s">
        <v>384</v>
      </c>
      <c r="C184" s="216">
        <f t="shared" si="40"/>
        <v>10</v>
      </c>
      <c r="D184" s="216">
        <f t="shared" si="41"/>
        <v>43</v>
      </c>
      <c r="E184" s="216">
        <f t="shared" si="44"/>
        <v>430</v>
      </c>
      <c r="F184" s="216">
        <f t="shared" si="42"/>
        <v>0.91328052400000004</v>
      </c>
      <c r="G184" s="217">
        <f t="shared" si="43"/>
        <v>3.9271062532000001E-7</v>
      </c>
      <c r="H184" s="207"/>
    </row>
    <row r="185" spans="2:8" ht="13.8" x14ac:dyDescent="0.25">
      <c r="B185" s="215" t="s">
        <v>425</v>
      </c>
      <c r="C185" s="216">
        <f t="shared" si="40"/>
        <v>10</v>
      </c>
      <c r="D185" s="216">
        <f t="shared" si="41"/>
        <v>44.3</v>
      </c>
      <c r="E185" s="216">
        <f t="shared" si="44"/>
        <v>443</v>
      </c>
      <c r="F185" s="216">
        <f t="shared" si="42"/>
        <v>0.70445880999999999</v>
      </c>
      <c r="G185" s="217">
        <f t="shared" si="43"/>
        <v>3.1207525282999997E-7</v>
      </c>
      <c r="H185" s="207"/>
    </row>
    <row r="186" spans="2:8" ht="13.8" x14ac:dyDescent="0.25">
      <c r="B186" s="215" t="s">
        <v>400</v>
      </c>
      <c r="C186" s="216">
        <f t="shared" si="40"/>
        <v>10</v>
      </c>
      <c r="D186" s="216">
        <f t="shared" si="41"/>
        <v>44.1</v>
      </c>
      <c r="E186" s="216">
        <f t="shared" si="44"/>
        <v>441</v>
      </c>
      <c r="F186" s="216">
        <f t="shared" si="42"/>
        <v>0.81556195965417866</v>
      </c>
      <c r="G186" s="217">
        <f t="shared" si="43"/>
        <v>3.596628242074928E-7</v>
      </c>
      <c r="H186" s="207"/>
    </row>
    <row r="187" spans="2:8" ht="13.8" x14ac:dyDescent="0.25">
      <c r="B187" s="215" t="s">
        <v>386</v>
      </c>
      <c r="C187" s="216">
        <f t="shared" si="40"/>
        <v>5</v>
      </c>
      <c r="D187" s="216">
        <f t="shared" si="41"/>
        <v>47.3</v>
      </c>
      <c r="E187" s="216">
        <f t="shared" si="44"/>
        <v>236.5</v>
      </c>
      <c r="F187" s="216">
        <f t="shared" si="42"/>
        <v>0.49354726194628523</v>
      </c>
      <c r="G187" s="217">
        <f t="shared" si="43"/>
        <v>1.1672392745029646E-7</v>
      </c>
      <c r="H187" s="207"/>
    </row>
    <row r="188" spans="2:8" ht="13.8" x14ac:dyDescent="0.25">
      <c r="B188" s="215" t="s">
        <v>26</v>
      </c>
      <c r="C188" s="216">
        <f t="shared" si="40"/>
        <v>10</v>
      </c>
      <c r="D188" s="216">
        <f t="shared" si="41"/>
        <v>40.200000000000003</v>
      </c>
      <c r="E188" s="216">
        <f t="shared" si="44"/>
        <v>402</v>
      </c>
      <c r="F188" s="216">
        <f t="shared" si="42"/>
        <v>0.89818497799999997</v>
      </c>
      <c r="G188" s="217">
        <f t="shared" si="43"/>
        <v>3.6107036115599999E-7</v>
      </c>
      <c r="H188" s="207"/>
    </row>
    <row r="189" spans="2:8" ht="13.8" x14ac:dyDescent="0.25">
      <c r="B189" s="215" t="s">
        <v>398</v>
      </c>
      <c r="C189" s="216">
        <f t="shared" si="40"/>
        <v>10</v>
      </c>
      <c r="D189" s="216">
        <f t="shared" si="41"/>
        <v>44.3</v>
      </c>
      <c r="E189" s="216">
        <f t="shared" si="44"/>
        <v>443</v>
      </c>
      <c r="F189" s="216">
        <f t="shared" si="42"/>
        <v>0.74534257599999998</v>
      </c>
      <c r="G189" s="217">
        <f t="shared" si="43"/>
        <v>3.3018676116799996E-7</v>
      </c>
      <c r="H189" s="207"/>
    </row>
    <row r="190" spans="2:8" ht="13.8" x14ac:dyDescent="0.25">
      <c r="B190" s="215" t="s">
        <v>24</v>
      </c>
      <c r="C190" s="216">
        <f t="shared" si="40"/>
        <v>10</v>
      </c>
      <c r="D190" s="216">
        <f t="shared" si="41"/>
        <v>44.5</v>
      </c>
      <c r="E190" s="216">
        <f t="shared" si="44"/>
        <v>445</v>
      </c>
      <c r="F190" s="216">
        <f t="shared" si="42"/>
        <v>0.72836008699999999</v>
      </c>
      <c r="G190" s="217">
        <f t="shared" si="43"/>
        <v>3.2412023871499998E-7</v>
      </c>
      <c r="H190" s="207"/>
    </row>
    <row r="191" spans="2:8" ht="13.8" x14ac:dyDescent="0.25">
      <c r="B191" s="215" t="s">
        <v>406</v>
      </c>
      <c r="C191" s="216">
        <f t="shared" ref="C191:C196" si="45">VLOOKUP(B191,Institutional,2,FALSE)</f>
        <v>10</v>
      </c>
      <c r="D191" s="216">
        <f t="shared" ref="D191:D196" si="46">VLOOKUP(B191,fuelInfo,4,FALSE)</f>
        <v>44.2</v>
      </c>
      <c r="E191" s="216">
        <f t="shared" ref="E191:E196" si="47">C191*D191</f>
        <v>442</v>
      </c>
      <c r="F191" s="216" t="str">
        <f t="shared" ref="F191:F196" si="48">IF(VLOOKUP(B191,Density_Config,2,FALSE)=0,"",VLOOKUP(B191,Density_Config,2,FALSE))</f>
        <v/>
      </c>
      <c r="G191" s="217" t="str">
        <f t="shared" ref="G191:G196" si="49">IFERROR((E191/1000000000)*F191,"")</f>
        <v/>
      </c>
      <c r="H191" s="207"/>
    </row>
    <row r="192" spans="2:8" ht="13.8" x14ac:dyDescent="0.25">
      <c r="B192" s="215" t="s">
        <v>22</v>
      </c>
      <c r="C192" s="216">
        <f t="shared" si="45"/>
        <v>10</v>
      </c>
      <c r="D192" s="216">
        <f t="shared" si="46"/>
        <v>27.5</v>
      </c>
      <c r="E192" s="216">
        <f t="shared" si="47"/>
        <v>275</v>
      </c>
      <c r="F192" s="216" t="str">
        <f t="shared" si="48"/>
        <v/>
      </c>
      <c r="G192" s="217" t="str">
        <f t="shared" si="49"/>
        <v/>
      </c>
      <c r="H192" s="207"/>
    </row>
    <row r="193" spans="2:8" ht="13.8" x14ac:dyDescent="0.25">
      <c r="B193" s="215" t="s">
        <v>401</v>
      </c>
      <c r="C193" s="216">
        <f t="shared" si="45"/>
        <v>10</v>
      </c>
      <c r="D193" s="216">
        <f t="shared" si="46"/>
        <v>43.8</v>
      </c>
      <c r="E193" s="216">
        <f t="shared" si="47"/>
        <v>438</v>
      </c>
      <c r="F193" s="216">
        <f t="shared" si="48"/>
        <v>0.84832134292565942</v>
      </c>
      <c r="G193" s="217">
        <f t="shared" si="49"/>
        <v>3.7156474820143883E-7</v>
      </c>
      <c r="H193" s="207"/>
    </row>
    <row r="194" spans="2:8" ht="13.8" x14ac:dyDescent="0.25">
      <c r="B194" s="215" t="s">
        <v>422</v>
      </c>
      <c r="C194" s="216">
        <f t="shared" si="45"/>
        <v>10</v>
      </c>
      <c r="D194" s="216">
        <f t="shared" si="46"/>
        <v>27.4</v>
      </c>
      <c r="E194" s="216">
        <f t="shared" si="47"/>
        <v>274</v>
      </c>
      <c r="F194" s="216" t="str">
        <f t="shared" si="48"/>
        <v/>
      </c>
      <c r="G194" s="217" t="str">
        <f t="shared" si="49"/>
        <v/>
      </c>
      <c r="H194" s="207"/>
    </row>
    <row r="195" spans="2:8" ht="15" customHeight="1" x14ac:dyDescent="0.25">
      <c r="B195" s="215" t="s">
        <v>409</v>
      </c>
      <c r="C195" s="216">
        <f t="shared" si="45"/>
        <v>5</v>
      </c>
      <c r="D195" s="216">
        <f t="shared" si="46"/>
        <v>49.5</v>
      </c>
      <c r="E195" s="216">
        <f t="shared" si="47"/>
        <v>247.5</v>
      </c>
      <c r="F195" s="216" t="str">
        <f t="shared" si="48"/>
        <v/>
      </c>
      <c r="G195" s="217" t="str">
        <f t="shared" si="49"/>
        <v/>
      </c>
      <c r="H195" s="207"/>
    </row>
    <row r="196" spans="2:8" ht="13.8" x14ac:dyDescent="0.25">
      <c r="B196" s="215" t="s">
        <v>408</v>
      </c>
      <c r="C196" s="216">
        <f t="shared" si="45"/>
        <v>10</v>
      </c>
      <c r="D196" s="216">
        <f t="shared" si="46"/>
        <v>43</v>
      </c>
      <c r="E196" s="216">
        <f t="shared" si="47"/>
        <v>430</v>
      </c>
      <c r="F196" s="216" t="str">
        <f t="shared" si="48"/>
        <v/>
      </c>
      <c r="G196" s="217" t="str">
        <f t="shared" si="49"/>
        <v/>
      </c>
      <c r="H196" s="207"/>
    </row>
    <row r="197" spans="2:8" ht="13.8" x14ac:dyDescent="0.25">
      <c r="B197" s="215" t="s">
        <v>385</v>
      </c>
      <c r="C197" s="216">
        <f t="shared" si="40"/>
        <v>10</v>
      </c>
      <c r="D197" s="216">
        <f t="shared" si="41"/>
        <v>40.4</v>
      </c>
      <c r="E197" s="216">
        <f t="shared" si="44"/>
        <v>404</v>
      </c>
      <c r="F197" s="216">
        <f t="shared" si="42"/>
        <v>0.96108308600000003</v>
      </c>
      <c r="G197" s="217">
        <f t="shared" si="43"/>
        <v>3.8827756674400001E-7</v>
      </c>
      <c r="H197" s="207"/>
    </row>
    <row r="198" spans="2:8" ht="13.8" x14ac:dyDescent="0.25">
      <c r="B198" s="215" t="s">
        <v>383</v>
      </c>
      <c r="C198" s="216">
        <f t="shared" si="40"/>
        <v>10</v>
      </c>
      <c r="D198" s="216">
        <f t="shared" si="41"/>
        <v>38.1</v>
      </c>
      <c r="E198" s="216">
        <f t="shared" si="44"/>
        <v>381</v>
      </c>
      <c r="F198" s="216" t="str">
        <f t="shared" si="42"/>
        <v/>
      </c>
      <c r="G198" s="217" t="str">
        <f t="shared" si="43"/>
        <v/>
      </c>
      <c r="H198" s="207"/>
    </row>
    <row r="199" spans="2:8" ht="13.8" x14ac:dyDescent="0.25">
      <c r="B199" s="215" t="s">
        <v>613</v>
      </c>
      <c r="C199" s="216">
        <f t="shared" si="40"/>
        <v>3</v>
      </c>
      <c r="D199" s="216">
        <f t="shared" si="41"/>
        <v>11.8</v>
      </c>
      <c r="E199" s="216">
        <f t="shared" si="44"/>
        <v>35.400000000000006</v>
      </c>
      <c r="F199" s="216" t="str">
        <f t="shared" si="42"/>
        <v/>
      </c>
      <c r="G199" s="217" t="str">
        <f t="shared" si="43"/>
        <v/>
      </c>
      <c r="H199" s="207"/>
    </row>
    <row r="200" spans="2:8" ht="13.8" x14ac:dyDescent="0.25">
      <c r="B200" s="215" t="s">
        <v>420</v>
      </c>
      <c r="C200" s="216">
        <f t="shared" si="40"/>
        <v>300</v>
      </c>
      <c r="D200" s="216">
        <f t="shared" si="41"/>
        <v>40.200000000000003</v>
      </c>
      <c r="E200" s="216">
        <f t="shared" si="44"/>
        <v>12060</v>
      </c>
      <c r="F200" s="216" t="str">
        <f t="shared" si="42"/>
        <v/>
      </c>
      <c r="G200" s="217" t="str">
        <f t="shared" si="43"/>
        <v/>
      </c>
      <c r="H200" s="207"/>
    </row>
    <row r="201" spans="2:8" ht="14.4" thickBot="1" x14ac:dyDescent="0.3">
      <c r="B201" s="218" t="s">
        <v>411</v>
      </c>
      <c r="C201" s="219">
        <f t="shared" si="40"/>
        <v>10</v>
      </c>
      <c r="D201" s="219">
        <f t="shared" si="41"/>
        <v>40.200000000000003</v>
      </c>
      <c r="E201" s="219">
        <f t="shared" si="44"/>
        <v>402</v>
      </c>
      <c r="F201" s="219" t="str">
        <f t="shared" si="42"/>
        <v/>
      </c>
      <c r="G201" s="220" t="str">
        <f t="shared" si="43"/>
        <v/>
      </c>
      <c r="H201" s="207"/>
    </row>
    <row r="202" spans="2:8" ht="14.4" thickBot="1" x14ac:dyDescent="0.3">
      <c r="B202" s="221" t="s">
        <v>263</v>
      </c>
      <c r="C202" s="222"/>
      <c r="D202" s="222"/>
      <c r="E202" s="222"/>
      <c r="F202" s="222"/>
      <c r="G202" s="223"/>
      <c r="H202" s="207"/>
    </row>
    <row r="203" spans="2:8" ht="13.8" x14ac:dyDescent="0.25">
      <c r="B203" s="207"/>
      <c r="C203" s="207"/>
      <c r="D203" s="207"/>
      <c r="E203" s="207"/>
      <c r="F203" s="207"/>
      <c r="G203" s="207"/>
      <c r="H203" s="207"/>
    </row>
    <row r="204" spans="2:8" ht="14.4" thickBot="1" x14ac:dyDescent="0.3">
      <c r="B204" s="207" t="s">
        <v>605</v>
      </c>
      <c r="C204" s="207"/>
      <c r="D204" s="207"/>
      <c r="E204" s="207"/>
      <c r="F204" s="207"/>
      <c r="G204" s="207"/>
      <c r="H204" s="207"/>
    </row>
    <row r="205" spans="2:8" ht="69.599999999999994" thickBot="1" x14ac:dyDescent="0.3">
      <c r="B205" s="224" t="s">
        <v>21</v>
      </c>
      <c r="C205" s="208" t="s">
        <v>643</v>
      </c>
      <c r="D205" s="209" t="s">
        <v>644</v>
      </c>
      <c r="E205" s="210" t="s">
        <v>162</v>
      </c>
      <c r="F205" s="210" t="s">
        <v>163</v>
      </c>
      <c r="G205" s="211" t="s">
        <v>645</v>
      </c>
      <c r="H205" s="207"/>
    </row>
    <row r="206" spans="2:8" ht="13.8" x14ac:dyDescent="0.25">
      <c r="B206" s="212" t="s">
        <v>399</v>
      </c>
      <c r="C206" s="213">
        <f t="shared" ref="C206" si="50">VLOOKUP(B206,Residential,2,FALSE)</f>
        <v>10</v>
      </c>
      <c r="D206" s="213">
        <f t="shared" ref="D206:D228" si="51">VLOOKUP(B206,fuelInfo,4,FALSE)</f>
        <v>44.3</v>
      </c>
      <c r="E206" s="213">
        <f>C206*D206</f>
        <v>443</v>
      </c>
      <c r="F206" s="213">
        <f t="shared" ref="F206:F228" si="52">IF(VLOOKUP(B206,Density_Config,2,FALSE)=0,"",VLOOKUP(B206,Density_Config,2,FALSE))</f>
        <v>0.70445880999999999</v>
      </c>
      <c r="G206" s="214">
        <f t="shared" ref="G206:G228" si="53">IFERROR((E206/1000000000)*F206,"")</f>
        <v>3.1207525282999997E-7</v>
      </c>
      <c r="H206" s="207"/>
    </row>
    <row r="207" spans="2:8" ht="13.8" x14ac:dyDescent="0.25">
      <c r="B207" s="215" t="s">
        <v>32</v>
      </c>
      <c r="C207" s="216">
        <f t="shared" ref="C207:C228" si="54">VLOOKUP(B207,Institutional,2,FALSE)</f>
        <v>10</v>
      </c>
      <c r="D207" s="216">
        <f t="shared" si="51"/>
        <v>27</v>
      </c>
      <c r="E207" s="216">
        <f t="shared" ref="E207:E228" si="55">C207*D207</f>
        <v>270</v>
      </c>
      <c r="F207" s="216" t="str">
        <f t="shared" si="52"/>
        <v/>
      </c>
      <c r="G207" s="217" t="str">
        <f t="shared" si="53"/>
        <v/>
      </c>
      <c r="H207" s="207"/>
    </row>
    <row r="208" spans="2:8" ht="13.8" x14ac:dyDescent="0.25">
      <c r="B208" s="215" t="s">
        <v>31</v>
      </c>
      <c r="C208" s="216">
        <f t="shared" si="54"/>
        <v>10</v>
      </c>
      <c r="D208" s="216">
        <f t="shared" si="51"/>
        <v>27</v>
      </c>
      <c r="E208" s="216">
        <f t="shared" si="55"/>
        <v>270</v>
      </c>
      <c r="F208" s="216" t="str">
        <f t="shared" si="52"/>
        <v/>
      </c>
      <c r="G208" s="217" t="str">
        <f t="shared" si="53"/>
        <v/>
      </c>
      <c r="H208" s="207"/>
    </row>
    <row r="209" spans="2:8" ht="13.8" x14ac:dyDescent="0.25">
      <c r="B209" s="215" t="s">
        <v>397</v>
      </c>
      <c r="C209" s="216">
        <f t="shared" si="54"/>
        <v>10</v>
      </c>
      <c r="D209" s="216">
        <f t="shared" si="51"/>
        <v>42.3</v>
      </c>
      <c r="E209" s="216">
        <f t="shared" si="55"/>
        <v>423</v>
      </c>
      <c r="F209" s="216">
        <f t="shared" si="52"/>
        <v>0.87345679012345701</v>
      </c>
      <c r="G209" s="217">
        <f t="shared" si="53"/>
        <v>3.6947222222222232E-7</v>
      </c>
      <c r="H209" s="207"/>
    </row>
    <row r="210" spans="2:8" ht="13.8" x14ac:dyDescent="0.25">
      <c r="B210" s="215" t="s">
        <v>23</v>
      </c>
      <c r="C210" s="216">
        <f t="shared" si="54"/>
        <v>5</v>
      </c>
      <c r="D210" s="216">
        <f t="shared" si="51"/>
        <v>46.4</v>
      </c>
      <c r="E210" s="216">
        <f t="shared" si="55"/>
        <v>232</v>
      </c>
      <c r="F210" s="216" t="str">
        <f t="shared" si="52"/>
        <v/>
      </c>
      <c r="G210" s="217" t="str">
        <f t="shared" si="53"/>
        <v/>
      </c>
      <c r="H210" s="207"/>
    </row>
    <row r="211" spans="2:8" ht="13.8" x14ac:dyDescent="0.25">
      <c r="B211" s="215" t="s">
        <v>384</v>
      </c>
      <c r="C211" s="216">
        <f t="shared" si="54"/>
        <v>10</v>
      </c>
      <c r="D211" s="216">
        <f t="shared" si="51"/>
        <v>43</v>
      </c>
      <c r="E211" s="216">
        <f t="shared" si="55"/>
        <v>430</v>
      </c>
      <c r="F211" s="216">
        <f t="shared" si="52"/>
        <v>0.91328052400000004</v>
      </c>
      <c r="G211" s="217">
        <f t="shared" si="53"/>
        <v>3.9271062532000001E-7</v>
      </c>
      <c r="H211" s="207"/>
    </row>
    <row r="212" spans="2:8" ht="13.8" x14ac:dyDescent="0.25">
      <c r="B212" s="215" t="s">
        <v>425</v>
      </c>
      <c r="C212" s="216">
        <f t="shared" si="54"/>
        <v>10</v>
      </c>
      <c r="D212" s="216">
        <f t="shared" si="51"/>
        <v>44.3</v>
      </c>
      <c r="E212" s="216">
        <f t="shared" si="55"/>
        <v>443</v>
      </c>
      <c r="F212" s="216">
        <f t="shared" si="52"/>
        <v>0.70445880999999999</v>
      </c>
      <c r="G212" s="217">
        <f t="shared" si="53"/>
        <v>3.1207525282999997E-7</v>
      </c>
      <c r="H212" s="207"/>
    </row>
    <row r="213" spans="2:8" ht="13.8" x14ac:dyDescent="0.25">
      <c r="B213" s="215" t="s">
        <v>400</v>
      </c>
      <c r="C213" s="216">
        <f t="shared" si="54"/>
        <v>10</v>
      </c>
      <c r="D213" s="216">
        <f t="shared" si="51"/>
        <v>44.1</v>
      </c>
      <c r="E213" s="216">
        <f t="shared" si="55"/>
        <v>441</v>
      </c>
      <c r="F213" s="216">
        <f t="shared" si="52"/>
        <v>0.81556195965417866</v>
      </c>
      <c r="G213" s="217">
        <f t="shared" si="53"/>
        <v>3.596628242074928E-7</v>
      </c>
      <c r="H213" s="207"/>
    </row>
    <row r="214" spans="2:8" ht="13.8" x14ac:dyDescent="0.25">
      <c r="B214" s="215" t="s">
        <v>386</v>
      </c>
      <c r="C214" s="216">
        <f t="shared" si="54"/>
        <v>5</v>
      </c>
      <c r="D214" s="216">
        <f t="shared" si="51"/>
        <v>47.3</v>
      </c>
      <c r="E214" s="216">
        <f t="shared" si="55"/>
        <v>236.5</v>
      </c>
      <c r="F214" s="216">
        <f t="shared" si="52"/>
        <v>0.49354726194628523</v>
      </c>
      <c r="G214" s="217">
        <f t="shared" si="53"/>
        <v>1.1672392745029646E-7</v>
      </c>
      <c r="H214" s="207"/>
    </row>
    <row r="215" spans="2:8" ht="13.8" x14ac:dyDescent="0.25">
      <c r="B215" s="215" t="s">
        <v>26</v>
      </c>
      <c r="C215" s="216">
        <f t="shared" si="54"/>
        <v>10</v>
      </c>
      <c r="D215" s="216">
        <f t="shared" si="51"/>
        <v>40.200000000000003</v>
      </c>
      <c r="E215" s="216">
        <f t="shared" si="55"/>
        <v>402</v>
      </c>
      <c r="F215" s="216">
        <f t="shared" si="52"/>
        <v>0.89818497799999997</v>
      </c>
      <c r="G215" s="217">
        <f t="shared" si="53"/>
        <v>3.6107036115599999E-7</v>
      </c>
      <c r="H215" s="207"/>
    </row>
    <row r="216" spans="2:8" ht="13.8" x14ac:dyDescent="0.25">
      <c r="B216" s="215" t="s">
        <v>398</v>
      </c>
      <c r="C216" s="216">
        <f t="shared" si="54"/>
        <v>10</v>
      </c>
      <c r="D216" s="216">
        <f t="shared" si="51"/>
        <v>44.3</v>
      </c>
      <c r="E216" s="216">
        <f t="shared" si="55"/>
        <v>443</v>
      </c>
      <c r="F216" s="216">
        <f t="shared" si="52"/>
        <v>0.74534257599999998</v>
      </c>
      <c r="G216" s="217">
        <f t="shared" si="53"/>
        <v>3.3018676116799996E-7</v>
      </c>
      <c r="H216" s="207"/>
    </row>
    <row r="217" spans="2:8" ht="13.8" x14ac:dyDescent="0.25">
      <c r="B217" s="215" t="s">
        <v>24</v>
      </c>
      <c r="C217" s="216">
        <f t="shared" si="54"/>
        <v>10</v>
      </c>
      <c r="D217" s="216">
        <f t="shared" si="51"/>
        <v>44.5</v>
      </c>
      <c r="E217" s="216">
        <f t="shared" si="55"/>
        <v>445</v>
      </c>
      <c r="F217" s="216">
        <f t="shared" si="52"/>
        <v>0.72836008699999999</v>
      </c>
      <c r="G217" s="217">
        <f t="shared" si="53"/>
        <v>3.2412023871499998E-7</v>
      </c>
      <c r="H217" s="207"/>
    </row>
    <row r="218" spans="2:8" ht="13.8" x14ac:dyDescent="0.25">
      <c r="B218" s="215" t="s">
        <v>406</v>
      </c>
      <c r="C218" s="216">
        <f t="shared" si="54"/>
        <v>10</v>
      </c>
      <c r="D218" s="216">
        <f t="shared" si="51"/>
        <v>44.2</v>
      </c>
      <c r="E218" s="216">
        <f t="shared" si="55"/>
        <v>442</v>
      </c>
      <c r="F218" s="216" t="str">
        <f t="shared" si="52"/>
        <v/>
      </c>
      <c r="G218" s="217" t="str">
        <f t="shared" si="53"/>
        <v/>
      </c>
      <c r="H218" s="207"/>
    </row>
    <row r="219" spans="2:8" ht="13.8" x14ac:dyDescent="0.25">
      <c r="B219" s="215" t="s">
        <v>22</v>
      </c>
      <c r="C219" s="216">
        <f t="shared" ref="C219:C227" si="56">VLOOKUP(B219,Institutional,2,FALSE)</f>
        <v>10</v>
      </c>
      <c r="D219" s="216">
        <f t="shared" ref="D219:D227" si="57">VLOOKUP(B219,fuelInfo,4,FALSE)</f>
        <v>27.5</v>
      </c>
      <c r="E219" s="216">
        <f t="shared" ref="E219:E227" si="58">C219*D219</f>
        <v>275</v>
      </c>
      <c r="F219" s="216" t="str">
        <f t="shared" ref="F219:F227" si="59">IF(VLOOKUP(B219,Density_Config,2,FALSE)=0,"",VLOOKUP(B219,Density_Config,2,FALSE))</f>
        <v/>
      </c>
      <c r="G219" s="217" t="str">
        <f t="shared" ref="G219:G227" si="60">IFERROR((E219/1000000000)*F219,"")</f>
        <v/>
      </c>
      <c r="H219" s="207"/>
    </row>
    <row r="220" spans="2:8" ht="13.8" x14ac:dyDescent="0.25">
      <c r="B220" s="215" t="s">
        <v>401</v>
      </c>
      <c r="C220" s="216">
        <f t="shared" si="56"/>
        <v>10</v>
      </c>
      <c r="D220" s="216">
        <f t="shared" si="57"/>
        <v>43.8</v>
      </c>
      <c r="E220" s="216">
        <f t="shared" si="58"/>
        <v>438</v>
      </c>
      <c r="F220" s="216">
        <f t="shared" si="59"/>
        <v>0.84832134292565942</v>
      </c>
      <c r="G220" s="217">
        <f t="shared" si="60"/>
        <v>3.7156474820143883E-7</v>
      </c>
      <c r="H220" s="207"/>
    </row>
    <row r="221" spans="2:8" ht="13.8" x14ac:dyDescent="0.25">
      <c r="B221" s="215" t="s">
        <v>422</v>
      </c>
      <c r="C221" s="216">
        <f t="shared" si="56"/>
        <v>10</v>
      </c>
      <c r="D221" s="216">
        <f t="shared" si="57"/>
        <v>27.4</v>
      </c>
      <c r="E221" s="216">
        <f t="shared" si="58"/>
        <v>274</v>
      </c>
      <c r="F221" s="216" t="str">
        <f t="shared" si="59"/>
        <v/>
      </c>
      <c r="G221" s="217" t="str">
        <f t="shared" si="60"/>
        <v/>
      </c>
      <c r="H221" s="207"/>
    </row>
    <row r="222" spans="2:8" ht="13.8" x14ac:dyDescent="0.25">
      <c r="B222" s="215" t="s">
        <v>409</v>
      </c>
      <c r="C222" s="216">
        <f t="shared" si="56"/>
        <v>5</v>
      </c>
      <c r="D222" s="216">
        <f t="shared" si="57"/>
        <v>49.5</v>
      </c>
      <c r="E222" s="216">
        <f t="shared" si="58"/>
        <v>247.5</v>
      </c>
      <c r="F222" s="216" t="str">
        <f t="shared" si="59"/>
        <v/>
      </c>
      <c r="G222" s="217" t="str">
        <f t="shared" si="60"/>
        <v/>
      </c>
      <c r="H222" s="207"/>
    </row>
    <row r="223" spans="2:8" ht="13.8" x14ac:dyDescent="0.25">
      <c r="B223" s="215" t="s">
        <v>408</v>
      </c>
      <c r="C223" s="216">
        <f t="shared" si="56"/>
        <v>10</v>
      </c>
      <c r="D223" s="216">
        <f t="shared" si="57"/>
        <v>43</v>
      </c>
      <c r="E223" s="216">
        <f t="shared" si="58"/>
        <v>430</v>
      </c>
      <c r="F223" s="216" t="str">
        <f t="shared" si="59"/>
        <v/>
      </c>
      <c r="G223" s="217" t="str">
        <f t="shared" si="60"/>
        <v/>
      </c>
      <c r="H223" s="207"/>
    </row>
    <row r="224" spans="2:8" ht="13.8" x14ac:dyDescent="0.25">
      <c r="B224" s="215" t="s">
        <v>385</v>
      </c>
      <c r="C224" s="216">
        <f t="shared" si="56"/>
        <v>10</v>
      </c>
      <c r="D224" s="216">
        <f t="shared" si="57"/>
        <v>40.4</v>
      </c>
      <c r="E224" s="216">
        <f t="shared" si="58"/>
        <v>404</v>
      </c>
      <c r="F224" s="216">
        <f t="shared" si="59"/>
        <v>0.96108308600000003</v>
      </c>
      <c r="G224" s="217">
        <f t="shared" si="60"/>
        <v>3.8827756674400001E-7</v>
      </c>
      <c r="H224" s="207"/>
    </row>
    <row r="225" spans="2:8" ht="13.8" x14ac:dyDescent="0.25">
      <c r="B225" s="215" t="s">
        <v>383</v>
      </c>
      <c r="C225" s="216">
        <f t="shared" si="56"/>
        <v>10</v>
      </c>
      <c r="D225" s="216">
        <f t="shared" si="57"/>
        <v>38.1</v>
      </c>
      <c r="E225" s="216">
        <f t="shared" si="58"/>
        <v>381</v>
      </c>
      <c r="F225" s="216" t="str">
        <f t="shared" si="59"/>
        <v/>
      </c>
      <c r="G225" s="217" t="str">
        <f t="shared" si="60"/>
        <v/>
      </c>
      <c r="H225" s="207"/>
    </row>
    <row r="226" spans="2:8" ht="13.8" x14ac:dyDescent="0.25">
      <c r="B226" s="215" t="s">
        <v>613</v>
      </c>
      <c r="C226" s="216">
        <f t="shared" si="56"/>
        <v>3</v>
      </c>
      <c r="D226" s="216">
        <f t="shared" si="57"/>
        <v>11.8</v>
      </c>
      <c r="E226" s="216">
        <f t="shared" si="58"/>
        <v>35.400000000000006</v>
      </c>
      <c r="F226" s="216" t="str">
        <f t="shared" si="59"/>
        <v/>
      </c>
      <c r="G226" s="217" t="str">
        <f t="shared" si="60"/>
        <v/>
      </c>
      <c r="H226" s="207"/>
    </row>
    <row r="227" spans="2:8" ht="13.8" x14ac:dyDescent="0.25">
      <c r="B227" s="215" t="s">
        <v>420</v>
      </c>
      <c r="C227" s="216">
        <f t="shared" si="56"/>
        <v>300</v>
      </c>
      <c r="D227" s="216">
        <f t="shared" si="57"/>
        <v>40.200000000000003</v>
      </c>
      <c r="E227" s="216">
        <f t="shared" si="58"/>
        <v>12060</v>
      </c>
      <c r="F227" s="216" t="str">
        <f t="shared" si="59"/>
        <v/>
      </c>
      <c r="G227" s="217" t="str">
        <f t="shared" si="60"/>
        <v/>
      </c>
      <c r="H227" s="207"/>
    </row>
    <row r="228" spans="2:8" ht="14.4" thickBot="1" x14ac:dyDescent="0.3">
      <c r="B228" s="218" t="s">
        <v>411</v>
      </c>
      <c r="C228" s="219">
        <f t="shared" si="54"/>
        <v>10</v>
      </c>
      <c r="D228" s="219">
        <f t="shared" si="51"/>
        <v>40.200000000000003</v>
      </c>
      <c r="E228" s="219">
        <f t="shared" si="55"/>
        <v>402</v>
      </c>
      <c r="F228" s="219" t="str">
        <f t="shared" si="52"/>
        <v/>
      </c>
      <c r="G228" s="220" t="str">
        <f t="shared" si="53"/>
        <v/>
      </c>
      <c r="H228" s="207"/>
    </row>
    <row r="229" spans="2:8" ht="14.4" thickBot="1" x14ac:dyDescent="0.3">
      <c r="B229" s="221" t="s">
        <v>264</v>
      </c>
      <c r="C229" s="222"/>
      <c r="D229" s="222"/>
      <c r="E229" s="222"/>
      <c r="F229" s="222"/>
      <c r="G229" s="223"/>
      <c r="H229" s="207"/>
    </row>
    <row r="230" spans="2:8" ht="13.8" x14ac:dyDescent="0.25">
      <c r="B230" s="207"/>
      <c r="C230" s="207"/>
      <c r="D230" s="207"/>
      <c r="E230" s="207"/>
      <c r="F230" s="207"/>
      <c r="G230" s="207"/>
      <c r="H230" s="207"/>
    </row>
    <row r="231" spans="2:8" ht="14.4" thickBot="1" x14ac:dyDescent="0.3">
      <c r="B231" s="207" t="s">
        <v>607</v>
      </c>
      <c r="C231" s="207"/>
      <c r="D231" s="207"/>
      <c r="E231" s="207"/>
      <c r="F231" s="207"/>
      <c r="G231" s="207"/>
      <c r="H231" s="207"/>
    </row>
    <row r="232" spans="2:8" ht="69.599999999999994" thickBot="1" x14ac:dyDescent="0.3">
      <c r="B232" s="224" t="s">
        <v>21</v>
      </c>
      <c r="C232" s="208" t="s">
        <v>643</v>
      </c>
      <c r="D232" s="209" t="s">
        <v>644</v>
      </c>
      <c r="E232" s="210" t="s">
        <v>162</v>
      </c>
      <c r="F232" s="210" t="s">
        <v>163</v>
      </c>
      <c r="G232" s="211" t="s">
        <v>645</v>
      </c>
      <c r="H232" s="207"/>
    </row>
    <row r="233" spans="2:8" ht="13.8" x14ac:dyDescent="0.25">
      <c r="B233" s="212" t="s">
        <v>399</v>
      </c>
      <c r="C233" s="213">
        <f t="shared" ref="C233:C255" si="61">VLOOKUP(B233,Agriculture,2,FALSE)</f>
        <v>10</v>
      </c>
      <c r="D233" s="213">
        <f t="shared" ref="D233:D255" si="62">VLOOKUP(B233,fuelInfo,4,FALSE)</f>
        <v>44.3</v>
      </c>
      <c r="E233" s="213">
        <f>C233*D233</f>
        <v>443</v>
      </c>
      <c r="F233" s="213">
        <f t="shared" ref="F233:F255" si="63">IF(VLOOKUP(B233,Density_Config,2,FALSE)=0,"",VLOOKUP(B233,Density_Config,2,FALSE))</f>
        <v>0.70445880999999999</v>
      </c>
      <c r="G233" s="214">
        <f t="shared" ref="G233:G255" si="64">IFERROR((E233/1000000000)*F233,"")</f>
        <v>3.1207525282999997E-7</v>
      </c>
      <c r="H233" s="207"/>
    </row>
    <row r="234" spans="2:8" ht="13.8" x14ac:dyDescent="0.25">
      <c r="B234" s="215" t="s">
        <v>32</v>
      </c>
      <c r="C234" s="216">
        <f t="shared" si="61"/>
        <v>10</v>
      </c>
      <c r="D234" s="216">
        <f t="shared" si="62"/>
        <v>27</v>
      </c>
      <c r="E234" s="216">
        <f t="shared" ref="E234:E255" si="65">C234*D234</f>
        <v>270</v>
      </c>
      <c r="F234" s="216" t="str">
        <f t="shared" si="63"/>
        <v/>
      </c>
      <c r="G234" s="217" t="str">
        <f t="shared" si="64"/>
        <v/>
      </c>
      <c r="H234" s="207"/>
    </row>
    <row r="235" spans="2:8" ht="13.8" x14ac:dyDescent="0.25">
      <c r="B235" s="215" t="s">
        <v>31</v>
      </c>
      <c r="C235" s="216">
        <f t="shared" si="61"/>
        <v>10</v>
      </c>
      <c r="D235" s="216">
        <f t="shared" si="62"/>
        <v>27</v>
      </c>
      <c r="E235" s="216">
        <f t="shared" si="65"/>
        <v>270</v>
      </c>
      <c r="F235" s="216" t="str">
        <f t="shared" si="63"/>
        <v/>
      </c>
      <c r="G235" s="217" t="str">
        <f t="shared" si="64"/>
        <v/>
      </c>
      <c r="H235" s="207"/>
    </row>
    <row r="236" spans="2:8" ht="13.8" x14ac:dyDescent="0.25">
      <c r="B236" s="215" t="s">
        <v>397</v>
      </c>
      <c r="C236" s="216">
        <f t="shared" si="61"/>
        <v>10</v>
      </c>
      <c r="D236" s="216">
        <f t="shared" si="62"/>
        <v>42.3</v>
      </c>
      <c r="E236" s="216">
        <f t="shared" si="65"/>
        <v>423</v>
      </c>
      <c r="F236" s="216">
        <f t="shared" si="63"/>
        <v>0.87345679012345701</v>
      </c>
      <c r="G236" s="217">
        <f t="shared" si="64"/>
        <v>3.6947222222222232E-7</v>
      </c>
      <c r="H236" s="207"/>
    </row>
    <row r="237" spans="2:8" ht="13.8" x14ac:dyDescent="0.25">
      <c r="B237" s="215" t="s">
        <v>23</v>
      </c>
      <c r="C237" s="216">
        <f t="shared" si="61"/>
        <v>5</v>
      </c>
      <c r="D237" s="216">
        <f t="shared" si="62"/>
        <v>46.4</v>
      </c>
      <c r="E237" s="216">
        <f t="shared" si="65"/>
        <v>232</v>
      </c>
      <c r="F237" s="216" t="str">
        <f t="shared" si="63"/>
        <v/>
      </c>
      <c r="G237" s="217" t="str">
        <f t="shared" si="64"/>
        <v/>
      </c>
      <c r="H237" s="207"/>
    </row>
    <row r="238" spans="2:8" ht="13.8" x14ac:dyDescent="0.25">
      <c r="B238" s="215" t="s">
        <v>384</v>
      </c>
      <c r="C238" s="216">
        <f t="shared" si="61"/>
        <v>10</v>
      </c>
      <c r="D238" s="216">
        <f t="shared" si="62"/>
        <v>43</v>
      </c>
      <c r="E238" s="216">
        <f t="shared" si="65"/>
        <v>430</v>
      </c>
      <c r="F238" s="216">
        <f t="shared" si="63"/>
        <v>0.91328052400000004</v>
      </c>
      <c r="G238" s="217">
        <f t="shared" si="64"/>
        <v>3.9271062532000001E-7</v>
      </c>
      <c r="H238" s="207"/>
    </row>
    <row r="239" spans="2:8" ht="13.8" x14ac:dyDescent="0.25">
      <c r="B239" s="215" t="s">
        <v>425</v>
      </c>
      <c r="C239" s="216">
        <f t="shared" si="61"/>
        <v>10</v>
      </c>
      <c r="D239" s="216">
        <f t="shared" si="62"/>
        <v>44.3</v>
      </c>
      <c r="E239" s="216">
        <f t="shared" si="65"/>
        <v>443</v>
      </c>
      <c r="F239" s="216">
        <f t="shared" si="63"/>
        <v>0.70445880999999999</v>
      </c>
      <c r="G239" s="217">
        <f t="shared" si="64"/>
        <v>3.1207525282999997E-7</v>
      </c>
      <c r="H239" s="207"/>
    </row>
    <row r="240" spans="2:8" ht="13.8" x14ac:dyDescent="0.25">
      <c r="B240" s="215" t="s">
        <v>400</v>
      </c>
      <c r="C240" s="216">
        <f t="shared" si="61"/>
        <v>10</v>
      </c>
      <c r="D240" s="216">
        <f t="shared" si="62"/>
        <v>44.1</v>
      </c>
      <c r="E240" s="216">
        <f t="shared" si="65"/>
        <v>441</v>
      </c>
      <c r="F240" s="216">
        <f t="shared" si="63"/>
        <v>0.81556195965417866</v>
      </c>
      <c r="G240" s="217">
        <f t="shared" si="64"/>
        <v>3.596628242074928E-7</v>
      </c>
      <c r="H240" s="207"/>
    </row>
    <row r="241" spans="1:8" ht="13.8" x14ac:dyDescent="0.25">
      <c r="B241" s="215" t="s">
        <v>386</v>
      </c>
      <c r="C241" s="216">
        <f t="shared" si="61"/>
        <v>5</v>
      </c>
      <c r="D241" s="216">
        <f t="shared" si="62"/>
        <v>47.3</v>
      </c>
      <c r="E241" s="216">
        <f t="shared" si="65"/>
        <v>236.5</v>
      </c>
      <c r="F241" s="216">
        <f t="shared" si="63"/>
        <v>0.49354726194628523</v>
      </c>
      <c r="G241" s="217">
        <f t="shared" si="64"/>
        <v>1.1672392745029646E-7</v>
      </c>
      <c r="H241" s="207"/>
    </row>
    <row r="242" spans="1:8" ht="13.8" x14ac:dyDescent="0.25">
      <c r="B242" s="215" t="s">
        <v>26</v>
      </c>
      <c r="C242" s="216">
        <f t="shared" si="61"/>
        <v>10</v>
      </c>
      <c r="D242" s="216">
        <f t="shared" si="62"/>
        <v>40.200000000000003</v>
      </c>
      <c r="E242" s="216">
        <f t="shared" si="65"/>
        <v>402</v>
      </c>
      <c r="F242" s="216">
        <f t="shared" si="63"/>
        <v>0.89818497799999997</v>
      </c>
      <c r="G242" s="217">
        <f t="shared" si="64"/>
        <v>3.6107036115599999E-7</v>
      </c>
      <c r="H242" s="207"/>
    </row>
    <row r="243" spans="1:8" ht="13.8" x14ac:dyDescent="0.25">
      <c r="B243" s="215" t="s">
        <v>398</v>
      </c>
      <c r="C243" s="216">
        <f t="shared" si="61"/>
        <v>10</v>
      </c>
      <c r="D243" s="216">
        <f t="shared" si="62"/>
        <v>44.3</v>
      </c>
      <c r="E243" s="216">
        <f t="shared" si="65"/>
        <v>443</v>
      </c>
      <c r="F243" s="216">
        <f t="shared" si="63"/>
        <v>0.74534257599999998</v>
      </c>
      <c r="G243" s="217">
        <f t="shared" si="64"/>
        <v>3.3018676116799996E-7</v>
      </c>
      <c r="H243" s="207"/>
    </row>
    <row r="244" spans="1:8" ht="13.8" x14ac:dyDescent="0.25">
      <c r="B244" s="215" t="s">
        <v>24</v>
      </c>
      <c r="C244" s="216">
        <f t="shared" si="61"/>
        <v>10</v>
      </c>
      <c r="D244" s="216">
        <f t="shared" si="62"/>
        <v>44.5</v>
      </c>
      <c r="E244" s="216">
        <f t="shared" si="65"/>
        <v>445</v>
      </c>
      <c r="F244" s="216">
        <f t="shared" si="63"/>
        <v>0.72836008699999999</v>
      </c>
      <c r="G244" s="217">
        <f t="shared" si="64"/>
        <v>3.2412023871499998E-7</v>
      </c>
      <c r="H244" s="207"/>
    </row>
    <row r="245" spans="1:8" ht="13.8" x14ac:dyDescent="0.25">
      <c r="B245" s="215" t="s">
        <v>406</v>
      </c>
      <c r="C245" s="216">
        <f t="shared" si="61"/>
        <v>10</v>
      </c>
      <c r="D245" s="216">
        <f t="shared" si="62"/>
        <v>44.2</v>
      </c>
      <c r="E245" s="216">
        <f t="shared" si="65"/>
        <v>442</v>
      </c>
      <c r="F245" s="216" t="str">
        <f t="shared" si="63"/>
        <v/>
      </c>
      <c r="G245" s="217" t="str">
        <f t="shared" si="64"/>
        <v/>
      </c>
      <c r="H245" s="207"/>
    </row>
    <row r="246" spans="1:8" ht="13.8" x14ac:dyDescent="0.25">
      <c r="B246" s="215" t="s">
        <v>22</v>
      </c>
      <c r="C246" s="216">
        <f t="shared" ref="C246:C247" si="66">VLOOKUP(B246,Agriculture,2,FALSE)</f>
        <v>10</v>
      </c>
      <c r="D246" s="216">
        <f t="shared" ref="D246:D247" si="67">VLOOKUP(B246,fuelInfo,4,FALSE)</f>
        <v>27.5</v>
      </c>
      <c r="E246" s="216">
        <f t="shared" ref="E246:E247" si="68">C246*D246</f>
        <v>275</v>
      </c>
      <c r="F246" s="216" t="str">
        <f t="shared" ref="F246:F247" si="69">IF(VLOOKUP(B246,Density_Config,2,FALSE)=0,"",VLOOKUP(B246,Density_Config,2,FALSE))</f>
        <v/>
      </c>
      <c r="G246" s="217" t="str">
        <f t="shared" ref="G246:G247" si="70">IFERROR((E246/1000000000)*F246,"")</f>
        <v/>
      </c>
      <c r="H246" s="207"/>
    </row>
    <row r="247" spans="1:8" ht="13.8" x14ac:dyDescent="0.25">
      <c r="B247" s="215" t="s">
        <v>401</v>
      </c>
      <c r="C247" s="216">
        <f t="shared" si="66"/>
        <v>10</v>
      </c>
      <c r="D247" s="216">
        <f t="shared" si="67"/>
        <v>43.8</v>
      </c>
      <c r="E247" s="216">
        <f t="shared" si="68"/>
        <v>438</v>
      </c>
      <c r="F247" s="216">
        <f t="shared" si="69"/>
        <v>0.84832134292565942</v>
      </c>
      <c r="G247" s="217">
        <f t="shared" si="70"/>
        <v>3.7156474820143883E-7</v>
      </c>
      <c r="H247" s="207"/>
    </row>
    <row r="248" spans="1:8" ht="13.8" x14ac:dyDescent="0.25">
      <c r="B248" s="215" t="s">
        <v>422</v>
      </c>
      <c r="C248" s="216">
        <f t="shared" si="61"/>
        <v>10</v>
      </c>
      <c r="D248" s="216">
        <f t="shared" si="62"/>
        <v>27.4</v>
      </c>
      <c r="E248" s="216">
        <f t="shared" si="65"/>
        <v>274</v>
      </c>
      <c r="F248" s="216" t="str">
        <f t="shared" si="63"/>
        <v/>
      </c>
      <c r="G248" s="217" t="str">
        <f t="shared" si="64"/>
        <v/>
      </c>
      <c r="H248" s="207"/>
    </row>
    <row r="249" spans="1:8" ht="13.8" x14ac:dyDescent="0.25">
      <c r="B249" s="215" t="s">
        <v>409</v>
      </c>
      <c r="C249" s="216">
        <f t="shared" si="61"/>
        <v>5</v>
      </c>
      <c r="D249" s="216">
        <f t="shared" si="62"/>
        <v>49.5</v>
      </c>
      <c r="E249" s="216">
        <f t="shared" si="65"/>
        <v>247.5</v>
      </c>
      <c r="F249" s="216" t="str">
        <f t="shared" si="63"/>
        <v/>
      </c>
      <c r="G249" s="217" t="str">
        <f t="shared" si="64"/>
        <v/>
      </c>
      <c r="H249" s="207"/>
    </row>
    <row r="250" spans="1:8" ht="13.8" x14ac:dyDescent="0.25">
      <c r="B250" s="215" t="s">
        <v>408</v>
      </c>
      <c r="C250" s="216">
        <f t="shared" si="61"/>
        <v>10</v>
      </c>
      <c r="D250" s="216">
        <f t="shared" si="62"/>
        <v>43</v>
      </c>
      <c r="E250" s="216">
        <f t="shared" si="65"/>
        <v>430</v>
      </c>
      <c r="F250" s="216" t="str">
        <f t="shared" si="63"/>
        <v/>
      </c>
      <c r="G250" s="217" t="str">
        <f t="shared" si="64"/>
        <v/>
      </c>
      <c r="H250" s="207"/>
    </row>
    <row r="251" spans="1:8" ht="13.8" x14ac:dyDescent="0.25">
      <c r="B251" s="215" t="s">
        <v>385</v>
      </c>
      <c r="C251" s="216">
        <f t="shared" si="61"/>
        <v>10</v>
      </c>
      <c r="D251" s="216">
        <f t="shared" si="62"/>
        <v>40.4</v>
      </c>
      <c r="E251" s="216">
        <f t="shared" si="65"/>
        <v>404</v>
      </c>
      <c r="F251" s="216">
        <f t="shared" si="63"/>
        <v>0.96108308600000003</v>
      </c>
      <c r="G251" s="217">
        <f t="shared" si="64"/>
        <v>3.8827756674400001E-7</v>
      </c>
      <c r="H251" s="207"/>
    </row>
    <row r="252" spans="1:8" ht="13.8" x14ac:dyDescent="0.25">
      <c r="B252" s="215" t="s">
        <v>383</v>
      </c>
      <c r="C252" s="216">
        <f t="shared" si="61"/>
        <v>10</v>
      </c>
      <c r="D252" s="216">
        <f t="shared" si="62"/>
        <v>38.1</v>
      </c>
      <c r="E252" s="216">
        <f t="shared" si="65"/>
        <v>381</v>
      </c>
      <c r="F252" s="216" t="str">
        <f t="shared" si="63"/>
        <v/>
      </c>
      <c r="G252" s="217" t="str">
        <f t="shared" si="64"/>
        <v/>
      </c>
      <c r="H252" s="207"/>
    </row>
    <row r="253" spans="1:8" ht="13.8" x14ac:dyDescent="0.25">
      <c r="B253" s="215" t="s">
        <v>613</v>
      </c>
      <c r="C253" s="216">
        <f t="shared" si="61"/>
        <v>3</v>
      </c>
      <c r="D253" s="216">
        <f t="shared" si="62"/>
        <v>11.8</v>
      </c>
      <c r="E253" s="216">
        <f t="shared" si="65"/>
        <v>35.400000000000006</v>
      </c>
      <c r="F253" s="216" t="str">
        <f t="shared" si="63"/>
        <v/>
      </c>
      <c r="G253" s="217" t="str">
        <f t="shared" si="64"/>
        <v/>
      </c>
      <c r="H253" s="207"/>
    </row>
    <row r="254" spans="1:8" ht="13.8" x14ac:dyDescent="0.25">
      <c r="B254" s="215" t="s">
        <v>420</v>
      </c>
      <c r="C254" s="216">
        <f t="shared" si="61"/>
        <v>300</v>
      </c>
      <c r="D254" s="216">
        <f t="shared" si="62"/>
        <v>40.200000000000003</v>
      </c>
      <c r="E254" s="216">
        <f t="shared" si="65"/>
        <v>12060</v>
      </c>
      <c r="F254" s="216" t="str">
        <f t="shared" si="63"/>
        <v/>
      </c>
      <c r="G254" s="217" t="str">
        <f t="shared" si="64"/>
        <v/>
      </c>
      <c r="H254" s="207"/>
    </row>
    <row r="255" spans="1:8" ht="14.4" thickBot="1" x14ac:dyDescent="0.3">
      <c r="B255" s="218" t="s">
        <v>411</v>
      </c>
      <c r="C255" s="219">
        <f t="shared" si="61"/>
        <v>10</v>
      </c>
      <c r="D255" s="219">
        <f t="shared" si="62"/>
        <v>40.200000000000003</v>
      </c>
      <c r="E255" s="219">
        <f t="shared" si="65"/>
        <v>402</v>
      </c>
      <c r="F255" s="219" t="str">
        <f t="shared" si="63"/>
        <v/>
      </c>
      <c r="G255" s="220" t="str">
        <f t="shared" si="64"/>
        <v/>
      </c>
      <c r="H255" s="207"/>
    </row>
    <row r="256" spans="1:8" ht="14.4" thickBot="1" x14ac:dyDescent="0.3">
      <c r="A256" s="47"/>
      <c r="B256" s="221" t="s">
        <v>265</v>
      </c>
      <c r="C256" s="222"/>
      <c r="D256" s="222"/>
      <c r="E256" s="222"/>
      <c r="F256" s="222"/>
      <c r="G256" s="223"/>
      <c r="H256" s="207"/>
    </row>
    <row r="257" spans="2:8" ht="13.8" x14ac:dyDescent="0.25">
      <c r="B257" s="207"/>
      <c r="C257" s="207"/>
      <c r="D257" s="207"/>
      <c r="E257" s="207"/>
      <c r="F257" s="207"/>
      <c r="G257" s="207"/>
      <c r="H257" s="207"/>
    </row>
    <row r="258" spans="2:8" ht="14.4" thickBot="1" x14ac:dyDescent="0.3">
      <c r="B258" s="207" t="s">
        <v>608</v>
      </c>
      <c r="C258" s="207"/>
      <c r="D258" s="207"/>
      <c r="E258" s="207"/>
      <c r="F258" s="207"/>
      <c r="G258" s="207"/>
      <c r="H258" s="207"/>
    </row>
    <row r="259" spans="2:8" ht="69.599999999999994" thickBot="1" x14ac:dyDescent="0.3">
      <c r="B259" s="224" t="s">
        <v>21</v>
      </c>
      <c r="C259" s="208" t="s">
        <v>643</v>
      </c>
      <c r="D259" s="209" t="s">
        <v>644</v>
      </c>
      <c r="E259" s="210" t="s">
        <v>162</v>
      </c>
      <c r="F259" s="210" t="s">
        <v>163</v>
      </c>
      <c r="G259" s="211" t="s">
        <v>645</v>
      </c>
      <c r="H259" s="207"/>
    </row>
    <row r="260" spans="2:8" ht="13.8" x14ac:dyDescent="0.25">
      <c r="B260" s="212" t="s">
        <v>399</v>
      </c>
      <c r="C260" s="213">
        <f t="shared" ref="C260:C272" si="71">VLOOKUP(B260,Forestry,2,FALSE)</f>
        <v>10</v>
      </c>
      <c r="D260" s="213">
        <f t="shared" ref="D260:D272" si="72">VLOOKUP(B260,fuelInfo,4,FALSE)</f>
        <v>44.3</v>
      </c>
      <c r="E260" s="213">
        <f>C260*D260</f>
        <v>443</v>
      </c>
      <c r="F260" s="213">
        <f t="shared" ref="F260:F272" si="73">IF(VLOOKUP(B260,Density_Config,2,FALSE)=0,"",VLOOKUP(B260,Density_Config,2,FALSE))</f>
        <v>0.70445880999999999</v>
      </c>
      <c r="G260" s="214">
        <f t="shared" ref="G260:G272" si="74">IFERROR((E260/1000000000)*F260,"")</f>
        <v>3.1207525282999997E-7</v>
      </c>
      <c r="H260" s="207"/>
    </row>
    <row r="261" spans="2:8" ht="13.8" x14ac:dyDescent="0.25">
      <c r="B261" s="215" t="s">
        <v>32</v>
      </c>
      <c r="C261" s="216">
        <f t="shared" si="71"/>
        <v>10</v>
      </c>
      <c r="D261" s="216">
        <f t="shared" si="72"/>
        <v>27</v>
      </c>
      <c r="E261" s="216">
        <f t="shared" ref="E261:E272" si="75">C261*D261</f>
        <v>270</v>
      </c>
      <c r="F261" s="216" t="str">
        <f t="shared" si="73"/>
        <v/>
      </c>
      <c r="G261" s="217" t="str">
        <f t="shared" si="74"/>
        <v/>
      </c>
      <c r="H261" s="207"/>
    </row>
    <row r="262" spans="2:8" ht="13.8" x14ac:dyDescent="0.25">
      <c r="B262" s="215" t="s">
        <v>31</v>
      </c>
      <c r="C262" s="216">
        <f t="shared" si="71"/>
        <v>10</v>
      </c>
      <c r="D262" s="216">
        <f t="shared" si="72"/>
        <v>27</v>
      </c>
      <c r="E262" s="216">
        <f t="shared" si="75"/>
        <v>270</v>
      </c>
      <c r="F262" s="216" t="str">
        <f t="shared" si="73"/>
        <v/>
      </c>
      <c r="G262" s="217" t="str">
        <f t="shared" si="74"/>
        <v/>
      </c>
      <c r="H262" s="207"/>
    </row>
    <row r="263" spans="2:8" ht="13.8" x14ac:dyDescent="0.25">
      <c r="B263" s="215" t="s">
        <v>397</v>
      </c>
      <c r="C263" s="216">
        <f t="shared" si="71"/>
        <v>10</v>
      </c>
      <c r="D263" s="216">
        <f t="shared" si="72"/>
        <v>42.3</v>
      </c>
      <c r="E263" s="216">
        <f t="shared" si="75"/>
        <v>423</v>
      </c>
      <c r="F263" s="216">
        <f t="shared" si="73"/>
        <v>0.87345679012345701</v>
      </c>
      <c r="G263" s="217">
        <f t="shared" si="74"/>
        <v>3.6947222222222232E-7</v>
      </c>
      <c r="H263" s="207"/>
    </row>
    <row r="264" spans="2:8" ht="13.8" x14ac:dyDescent="0.25">
      <c r="B264" s="215" t="s">
        <v>23</v>
      </c>
      <c r="C264" s="216">
        <f t="shared" si="71"/>
        <v>5</v>
      </c>
      <c r="D264" s="216">
        <f t="shared" si="72"/>
        <v>46.4</v>
      </c>
      <c r="E264" s="216">
        <f t="shared" si="75"/>
        <v>232</v>
      </c>
      <c r="F264" s="216" t="str">
        <f t="shared" si="73"/>
        <v/>
      </c>
      <c r="G264" s="217" t="str">
        <f t="shared" si="74"/>
        <v/>
      </c>
      <c r="H264" s="207"/>
    </row>
    <row r="265" spans="2:8" ht="13.8" x14ac:dyDescent="0.25">
      <c r="B265" s="215" t="s">
        <v>384</v>
      </c>
      <c r="C265" s="216">
        <f t="shared" si="71"/>
        <v>10</v>
      </c>
      <c r="D265" s="216">
        <f t="shared" si="72"/>
        <v>43</v>
      </c>
      <c r="E265" s="216">
        <f t="shared" si="75"/>
        <v>430</v>
      </c>
      <c r="F265" s="216">
        <f t="shared" si="73"/>
        <v>0.91328052400000004</v>
      </c>
      <c r="G265" s="217">
        <f t="shared" si="74"/>
        <v>3.9271062532000001E-7</v>
      </c>
      <c r="H265" s="207"/>
    </row>
    <row r="266" spans="2:8" ht="13.8" x14ac:dyDescent="0.25">
      <c r="B266" s="215" t="s">
        <v>425</v>
      </c>
      <c r="C266" s="216">
        <f t="shared" si="71"/>
        <v>10</v>
      </c>
      <c r="D266" s="216">
        <f t="shared" si="72"/>
        <v>44.3</v>
      </c>
      <c r="E266" s="216">
        <f t="shared" si="75"/>
        <v>443</v>
      </c>
      <c r="F266" s="216">
        <f t="shared" si="73"/>
        <v>0.70445880999999999</v>
      </c>
      <c r="G266" s="217">
        <f t="shared" si="74"/>
        <v>3.1207525282999997E-7</v>
      </c>
      <c r="H266" s="207"/>
    </row>
    <row r="267" spans="2:8" ht="13.8" x14ac:dyDescent="0.25">
      <c r="B267" s="215" t="s">
        <v>400</v>
      </c>
      <c r="C267" s="216">
        <f t="shared" si="71"/>
        <v>10</v>
      </c>
      <c r="D267" s="216">
        <f t="shared" si="72"/>
        <v>44.1</v>
      </c>
      <c r="E267" s="216">
        <f t="shared" si="75"/>
        <v>441</v>
      </c>
      <c r="F267" s="216">
        <f t="shared" si="73"/>
        <v>0.81556195965417866</v>
      </c>
      <c r="G267" s="217">
        <f t="shared" si="74"/>
        <v>3.596628242074928E-7</v>
      </c>
      <c r="H267" s="207"/>
    </row>
    <row r="268" spans="2:8" ht="13.8" x14ac:dyDescent="0.25">
      <c r="B268" s="215" t="s">
        <v>386</v>
      </c>
      <c r="C268" s="216">
        <f t="shared" si="71"/>
        <v>5</v>
      </c>
      <c r="D268" s="216">
        <f t="shared" si="72"/>
        <v>47.3</v>
      </c>
      <c r="E268" s="216">
        <f t="shared" si="75"/>
        <v>236.5</v>
      </c>
      <c r="F268" s="216">
        <f t="shared" si="73"/>
        <v>0.49354726194628523</v>
      </c>
      <c r="G268" s="217">
        <f t="shared" si="74"/>
        <v>1.1672392745029646E-7</v>
      </c>
      <c r="H268" s="207"/>
    </row>
    <row r="269" spans="2:8" ht="13.8" x14ac:dyDescent="0.25">
      <c r="B269" s="215" t="s">
        <v>26</v>
      </c>
      <c r="C269" s="216">
        <f t="shared" si="71"/>
        <v>10</v>
      </c>
      <c r="D269" s="216">
        <f t="shared" si="72"/>
        <v>40.200000000000003</v>
      </c>
      <c r="E269" s="216">
        <f t="shared" si="75"/>
        <v>402</v>
      </c>
      <c r="F269" s="216">
        <f t="shared" si="73"/>
        <v>0.89818497799999997</v>
      </c>
      <c r="G269" s="217">
        <f t="shared" si="74"/>
        <v>3.6107036115599999E-7</v>
      </c>
      <c r="H269" s="207"/>
    </row>
    <row r="270" spans="2:8" ht="13.8" x14ac:dyDescent="0.25">
      <c r="B270" s="215" t="s">
        <v>398</v>
      </c>
      <c r="C270" s="216">
        <f t="shared" si="71"/>
        <v>10</v>
      </c>
      <c r="D270" s="216">
        <f t="shared" si="72"/>
        <v>44.3</v>
      </c>
      <c r="E270" s="216">
        <f t="shared" si="75"/>
        <v>443</v>
      </c>
      <c r="F270" s="216">
        <f t="shared" si="73"/>
        <v>0.74534257599999998</v>
      </c>
      <c r="G270" s="217">
        <f t="shared" si="74"/>
        <v>3.3018676116799996E-7</v>
      </c>
      <c r="H270" s="207"/>
    </row>
    <row r="271" spans="2:8" ht="13.8" x14ac:dyDescent="0.25">
      <c r="B271" s="215" t="s">
        <v>24</v>
      </c>
      <c r="C271" s="216">
        <f t="shared" si="71"/>
        <v>10</v>
      </c>
      <c r="D271" s="216">
        <f t="shared" si="72"/>
        <v>44.5</v>
      </c>
      <c r="E271" s="216">
        <f t="shared" si="75"/>
        <v>445</v>
      </c>
      <c r="F271" s="216">
        <f t="shared" si="73"/>
        <v>0.72836008699999999</v>
      </c>
      <c r="G271" s="217">
        <f t="shared" si="74"/>
        <v>3.2412023871499998E-7</v>
      </c>
      <c r="H271" s="207"/>
    </row>
    <row r="272" spans="2:8" ht="13.8" x14ac:dyDescent="0.25">
      <c r="B272" s="215" t="s">
        <v>406</v>
      </c>
      <c r="C272" s="216">
        <f t="shared" si="71"/>
        <v>10</v>
      </c>
      <c r="D272" s="216">
        <f t="shared" si="72"/>
        <v>44.2</v>
      </c>
      <c r="E272" s="216">
        <f t="shared" si="75"/>
        <v>442</v>
      </c>
      <c r="F272" s="216" t="str">
        <f t="shared" si="73"/>
        <v/>
      </c>
      <c r="G272" s="217" t="str">
        <f t="shared" si="74"/>
        <v/>
      </c>
      <c r="H272" s="207"/>
    </row>
    <row r="273" spans="2:8" ht="13.8" x14ac:dyDescent="0.25">
      <c r="B273" s="215" t="s">
        <v>22</v>
      </c>
      <c r="C273" s="216">
        <f t="shared" ref="C273:C282" si="76">VLOOKUP(B273,Forestry,2,FALSE)</f>
        <v>10</v>
      </c>
      <c r="D273" s="216">
        <f t="shared" ref="D273:D282" si="77">VLOOKUP(B273,fuelInfo,4,FALSE)</f>
        <v>27.5</v>
      </c>
      <c r="E273" s="216">
        <f t="shared" ref="E273:E282" si="78">C273*D273</f>
        <v>275</v>
      </c>
      <c r="F273" s="216" t="str">
        <f t="shared" ref="F273:F282" si="79">IF(VLOOKUP(B273,Density_Config,2,FALSE)=0,"",VLOOKUP(B273,Density_Config,2,FALSE))</f>
        <v/>
      </c>
      <c r="G273" s="217" t="str">
        <f t="shared" ref="G273:G282" si="80">IFERROR((E273/1000000000)*F273,"")</f>
        <v/>
      </c>
      <c r="H273" s="207"/>
    </row>
    <row r="274" spans="2:8" ht="13.8" x14ac:dyDescent="0.25">
      <c r="B274" s="215" t="s">
        <v>401</v>
      </c>
      <c r="C274" s="216">
        <f t="shared" si="76"/>
        <v>10</v>
      </c>
      <c r="D274" s="216">
        <f t="shared" si="77"/>
        <v>43.8</v>
      </c>
      <c r="E274" s="216">
        <f t="shared" si="78"/>
        <v>438</v>
      </c>
      <c r="F274" s="216">
        <f t="shared" si="79"/>
        <v>0.84832134292565942</v>
      </c>
      <c r="G274" s="217">
        <f t="shared" si="80"/>
        <v>3.7156474820143883E-7</v>
      </c>
      <c r="H274" s="207"/>
    </row>
    <row r="275" spans="2:8" ht="13.8" x14ac:dyDescent="0.25">
      <c r="B275" s="215" t="s">
        <v>422</v>
      </c>
      <c r="C275" s="216">
        <f t="shared" si="76"/>
        <v>10</v>
      </c>
      <c r="D275" s="216">
        <f t="shared" si="77"/>
        <v>27.4</v>
      </c>
      <c r="E275" s="216">
        <f t="shared" si="78"/>
        <v>274</v>
      </c>
      <c r="F275" s="216" t="str">
        <f t="shared" si="79"/>
        <v/>
      </c>
      <c r="G275" s="217" t="str">
        <f t="shared" si="80"/>
        <v/>
      </c>
      <c r="H275" s="207"/>
    </row>
    <row r="276" spans="2:8" ht="13.8" x14ac:dyDescent="0.25">
      <c r="B276" s="215" t="s">
        <v>409</v>
      </c>
      <c r="C276" s="216">
        <f t="shared" si="76"/>
        <v>5</v>
      </c>
      <c r="D276" s="216">
        <f t="shared" si="77"/>
        <v>49.5</v>
      </c>
      <c r="E276" s="216">
        <f t="shared" si="78"/>
        <v>247.5</v>
      </c>
      <c r="F276" s="216" t="str">
        <f t="shared" si="79"/>
        <v/>
      </c>
      <c r="G276" s="217" t="str">
        <f t="shared" si="80"/>
        <v/>
      </c>
      <c r="H276" s="207"/>
    </row>
    <row r="277" spans="2:8" ht="13.8" x14ac:dyDescent="0.25">
      <c r="B277" s="215" t="s">
        <v>408</v>
      </c>
      <c r="C277" s="216">
        <f t="shared" si="76"/>
        <v>10</v>
      </c>
      <c r="D277" s="216">
        <f t="shared" si="77"/>
        <v>43</v>
      </c>
      <c r="E277" s="216">
        <f t="shared" si="78"/>
        <v>430</v>
      </c>
      <c r="F277" s="216" t="str">
        <f t="shared" si="79"/>
        <v/>
      </c>
      <c r="G277" s="217" t="str">
        <f t="shared" si="80"/>
        <v/>
      </c>
      <c r="H277" s="207"/>
    </row>
    <row r="278" spans="2:8" ht="13.8" x14ac:dyDescent="0.25">
      <c r="B278" s="215" t="s">
        <v>385</v>
      </c>
      <c r="C278" s="216">
        <f t="shared" si="76"/>
        <v>10</v>
      </c>
      <c r="D278" s="216">
        <f t="shared" si="77"/>
        <v>40.4</v>
      </c>
      <c r="E278" s="216">
        <f t="shared" si="78"/>
        <v>404</v>
      </c>
      <c r="F278" s="216">
        <f t="shared" si="79"/>
        <v>0.96108308600000003</v>
      </c>
      <c r="G278" s="217">
        <f t="shared" si="80"/>
        <v>3.8827756674400001E-7</v>
      </c>
      <c r="H278" s="207"/>
    </row>
    <row r="279" spans="2:8" ht="13.8" x14ac:dyDescent="0.25">
      <c r="B279" s="215" t="s">
        <v>383</v>
      </c>
      <c r="C279" s="216">
        <f t="shared" si="76"/>
        <v>10</v>
      </c>
      <c r="D279" s="216">
        <f t="shared" si="77"/>
        <v>38.1</v>
      </c>
      <c r="E279" s="216">
        <f t="shared" si="78"/>
        <v>381</v>
      </c>
      <c r="F279" s="216" t="str">
        <f t="shared" si="79"/>
        <v/>
      </c>
      <c r="G279" s="217" t="str">
        <f t="shared" si="80"/>
        <v/>
      </c>
      <c r="H279" s="207"/>
    </row>
    <row r="280" spans="2:8" ht="13.8" x14ac:dyDescent="0.25">
      <c r="B280" s="215" t="s">
        <v>613</v>
      </c>
      <c r="C280" s="216">
        <f t="shared" si="76"/>
        <v>3</v>
      </c>
      <c r="D280" s="216">
        <f t="shared" si="77"/>
        <v>11.8</v>
      </c>
      <c r="E280" s="216">
        <f t="shared" si="78"/>
        <v>35.400000000000006</v>
      </c>
      <c r="F280" s="216" t="str">
        <f t="shared" si="79"/>
        <v/>
      </c>
      <c r="G280" s="217" t="str">
        <f t="shared" si="80"/>
        <v/>
      </c>
      <c r="H280" s="207"/>
    </row>
    <row r="281" spans="2:8" ht="13.8" x14ac:dyDescent="0.25">
      <c r="B281" s="215" t="s">
        <v>420</v>
      </c>
      <c r="C281" s="216">
        <f t="shared" si="76"/>
        <v>300</v>
      </c>
      <c r="D281" s="216">
        <f t="shared" si="77"/>
        <v>40.200000000000003</v>
      </c>
      <c r="E281" s="216">
        <f t="shared" si="78"/>
        <v>12060</v>
      </c>
      <c r="F281" s="216" t="str">
        <f t="shared" si="79"/>
        <v/>
      </c>
      <c r="G281" s="217" t="str">
        <f t="shared" si="80"/>
        <v/>
      </c>
      <c r="H281" s="207"/>
    </row>
    <row r="282" spans="2:8" ht="14.4" thickBot="1" x14ac:dyDescent="0.3">
      <c r="B282" s="218" t="s">
        <v>411</v>
      </c>
      <c r="C282" s="216">
        <f t="shared" si="76"/>
        <v>10</v>
      </c>
      <c r="D282" s="216">
        <f t="shared" si="77"/>
        <v>40.200000000000003</v>
      </c>
      <c r="E282" s="216">
        <f t="shared" si="78"/>
        <v>402</v>
      </c>
      <c r="F282" s="216" t="str">
        <f t="shared" si="79"/>
        <v/>
      </c>
      <c r="G282" s="217" t="str">
        <f t="shared" si="80"/>
        <v/>
      </c>
      <c r="H282" s="207"/>
    </row>
    <row r="283" spans="2:8" ht="14.4" thickBot="1" x14ac:dyDescent="0.3">
      <c r="B283" s="221" t="s">
        <v>266</v>
      </c>
      <c r="C283" s="222"/>
      <c r="D283" s="222"/>
      <c r="E283" s="222"/>
      <c r="F283" s="222"/>
      <c r="G283" s="223"/>
      <c r="H283" s="207"/>
    </row>
    <row r="284" spans="2:8" ht="13.8" x14ac:dyDescent="0.25">
      <c r="B284" s="207"/>
      <c r="C284" s="207"/>
      <c r="D284" s="207"/>
      <c r="E284" s="207"/>
      <c r="F284" s="207"/>
      <c r="G284" s="207"/>
      <c r="H284" s="207"/>
    </row>
    <row r="285" spans="2:8" ht="14.4" thickBot="1" x14ac:dyDescent="0.3">
      <c r="B285" s="207" t="s">
        <v>609</v>
      </c>
      <c r="C285" s="207"/>
      <c r="D285" s="207"/>
      <c r="E285" s="207"/>
      <c r="F285" s="207"/>
      <c r="G285" s="207"/>
      <c r="H285" s="207"/>
    </row>
    <row r="286" spans="2:8" ht="69.599999999999994" thickBot="1" x14ac:dyDescent="0.3">
      <c r="B286" s="224" t="s">
        <v>21</v>
      </c>
      <c r="C286" s="208" t="s">
        <v>643</v>
      </c>
      <c r="D286" s="209" t="s">
        <v>644</v>
      </c>
      <c r="E286" s="210" t="s">
        <v>162</v>
      </c>
      <c r="F286" s="210" t="s">
        <v>163</v>
      </c>
      <c r="G286" s="211" t="s">
        <v>645</v>
      </c>
      <c r="H286" s="207"/>
    </row>
    <row r="287" spans="2:8" ht="13.8" x14ac:dyDescent="0.25">
      <c r="B287" s="212" t="s">
        <v>399</v>
      </c>
      <c r="C287" s="213">
        <f t="shared" ref="C287:C299" si="81">VLOOKUP(B287,Fisheries,2,FALSE)</f>
        <v>10</v>
      </c>
      <c r="D287" s="213">
        <f t="shared" ref="D287:D299" si="82">VLOOKUP(B287,fuelInfo,4,FALSE)</f>
        <v>44.3</v>
      </c>
      <c r="E287" s="213">
        <f>C287*D287</f>
        <v>443</v>
      </c>
      <c r="F287" s="213">
        <f t="shared" ref="F287:F299" si="83">IF(VLOOKUP(B287,Density_Config,2,FALSE)=0,"",VLOOKUP(B287,Density_Config,2,FALSE))</f>
        <v>0.70445880999999999</v>
      </c>
      <c r="G287" s="214">
        <f t="shared" ref="G287:G299" si="84">IFERROR((E287/1000000000)*F287,"")</f>
        <v>3.1207525282999997E-7</v>
      </c>
      <c r="H287" s="207"/>
    </row>
    <row r="288" spans="2:8" ht="13.8" x14ac:dyDescent="0.25">
      <c r="B288" s="215" t="s">
        <v>32</v>
      </c>
      <c r="C288" s="216">
        <f t="shared" si="81"/>
        <v>10</v>
      </c>
      <c r="D288" s="216">
        <f t="shared" si="82"/>
        <v>27</v>
      </c>
      <c r="E288" s="216">
        <f t="shared" ref="E288:E299" si="85">C288*D288</f>
        <v>270</v>
      </c>
      <c r="F288" s="216" t="str">
        <f t="shared" si="83"/>
        <v/>
      </c>
      <c r="G288" s="217" t="str">
        <f t="shared" si="84"/>
        <v/>
      </c>
      <c r="H288" s="207"/>
    </row>
    <row r="289" spans="2:8" ht="13.8" x14ac:dyDescent="0.25">
      <c r="B289" s="215" t="s">
        <v>31</v>
      </c>
      <c r="C289" s="216">
        <f t="shared" si="81"/>
        <v>10</v>
      </c>
      <c r="D289" s="216">
        <f t="shared" si="82"/>
        <v>27</v>
      </c>
      <c r="E289" s="216">
        <f t="shared" si="85"/>
        <v>270</v>
      </c>
      <c r="F289" s="216" t="str">
        <f t="shared" si="83"/>
        <v/>
      </c>
      <c r="G289" s="217" t="str">
        <f t="shared" si="84"/>
        <v/>
      </c>
      <c r="H289" s="207"/>
    </row>
    <row r="290" spans="2:8" ht="13.8" x14ac:dyDescent="0.25">
      <c r="B290" s="215" t="s">
        <v>397</v>
      </c>
      <c r="C290" s="216">
        <f t="shared" si="81"/>
        <v>10</v>
      </c>
      <c r="D290" s="216">
        <f t="shared" si="82"/>
        <v>42.3</v>
      </c>
      <c r="E290" s="216">
        <f t="shared" si="85"/>
        <v>423</v>
      </c>
      <c r="F290" s="216">
        <f t="shared" si="83"/>
        <v>0.87345679012345701</v>
      </c>
      <c r="G290" s="217">
        <f t="shared" si="84"/>
        <v>3.6947222222222232E-7</v>
      </c>
      <c r="H290" s="207"/>
    </row>
    <row r="291" spans="2:8" ht="13.8" x14ac:dyDescent="0.25">
      <c r="B291" s="215" t="s">
        <v>23</v>
      </c>
      <c r="C291" s="216">
        <f t="shared" si="81"/>
        <v>5</v>
      </c>
      <c r="D291" s="216">
        <f t="shared" si="82"/>
        <v>46.4</v>
      </c>
      <c r="E291" s="216">
        <f t="shared" si="85"/>
        <v>232</v>
      </c>
      <c r="F291" s="216" t="str">
        <f t="shared" si="83"/>
        <v/>
      </c>
      <c r="G291" s="217" t="str">
        <f t="shared" si="84"/>
        <v/>
      </c>
      <c r="H291" s="207"/>
    </row>
    <row r="292" spans="2:8" ht="13.8" x14ac:dyDescent="0.25">
      <c r="B292" s="215" t="s">
        <v>384</v>
      </c>
      <c r="C292" s="216">
        <f t="shared" si="81"/>
        <v>10</v>
      </c>
      <c r="D292" s="216">
        <f t="shared" si="82"/>
        <v>43</v>
      </c>
      <c r="E292" s="216">
        <f t="shared" si="85"/>
        <v>430</v>
      </c>
      <c r="F292" s="216">
        <f t="shared" si="83"/>
        <v>0.91328052400000004</v>
      </c>
      <c r="G292" s="217">
        <f t="shared" si="84"/>
        <v>3.9271062532000001E-7</v>
      </c>
      <c r="H292" s="207"/>
    </row>
    <row r="293" spans="2:8" ht="13.8" x14ac:dyDescent="0.25">
      <c r="B293" s="215" t="s">
        <v>425</v>
      </c>
      <c r="C293" s="216">
        <f t="shared" si="81"/>
        <v>10</v>
      </c>
      <c r="D293" s="216">
        <f t="shared" si="82"/>
        <v>44.3</v>
      </c>
      <c r="E293" s="216">
        <f t="shared" si="85"/>
        <v>443</v>
      </c>
      <c r="F293" s="216">
        <f t="shared" si="83"/>
        <v>0.70445880999999999</v>
      </c>
      <c r="G293" s="217">
        <f t="shared" si="84"/>
        <v>3.1207525282999997E-7</v>
      </c>
      <c r="H293" s="207"/>
    </row>
    <row r="294" spans="2:8" ht="13.8" x14ac:dyDescent="0.25">
      <c r="B294" s="215" t="s">
        <v>400</v>
      </c>
      <c r="C294" s="216">
        <f t="shared" si="81"/>
        <v>10</v>
      </c>
      <c r="D294" s="216">
        <f t="shared" si="82"/>
        <v>44.1</v>
      </c>
      <c r="E294" s="216">
        <f t="shared" si="85"/>
        <v>441</v>
      </c>
      <c r="F294" s="216">
        <f t="shared" si="83"/>
        <v>0.81556195965417866</v>
      </c>
      <c r="G294" s="217">
        <f t="shared" si="84"/>
        <v>3.596628242074928E-7</v>
      </c>
      <c r="H294" s="207"/>
    </row>
    <row r="295" spans="2:8" ht="13.8" x14ac:dyDescent="0.25">
      <c r="B295" s="215" t="s">
        <v>386</v>
      </c>
      <c r="C295" s="216">
        <f t="shared" si="81"/>
        <v>5</v>
      </c>
      <c r="D295" s="216">
        <f t="shared" si="82"/>
        <v>47.3</v>
      </c>
      <c r="E295" s="216">
        <f t="shared" si="85"/>
        <v>236.5</v>
      </c>
      <c r="F295" s="216">
        <f t="shared" si="83"/>
        <v>0.49354726194628523</v>
      </c>
      <c r="G295" s="217">
        <f t="shared" si="84"/>
        <v>1.1672392745029646E-7</v>
      </c>
      <c r="H295" s="207"/>
    </row>
    <row r="296" spans="2:8" ht="13.8" x14ac:dyDescent="0.25">
      <c r="B296" s="215" t="s">
        <v>26</v>
      </c>
      <c r="C296" s="216">
        <f t="shared" si="81"/>
        <v>10</v>
      </c>
      <c r="D296" s="216">
        <f t="shared" si="82"/>
        <v>40.200000000000003</v>
      </c>
      <c r="E296" s="216">
        <f t="shared" si="85"/>
        <v>402</v>
      </c>
      <c r="F296" s="216">
        <f t="shared" si="83"/>
        <v>0.89818497799999997</v>
      </c>
      <c r="G296" s="217">
        <f t="shared" si="84"/>
        <v>3.6107036115599999E-7</v>
      </c>
      <c r="H296" s="207"/>
    </row>
    <row r="297" spans="2:8" ht="13.8" x14ac:dyDescent="0.25">
      <c r="B297" s="215" t="s">
        <v>398</v>
      </c>
      <c r="C297" s="216">
        <f t="shared" si="81"/>
        <v>10</v>
      </c>
      <c r="D297" s="216">
        <f t="shared" si="82"/>
        <v>44.3</v>
      </c>
      <c r="E297" s="216">
        <f t="shared" si="85"/>
        <v>443</v>
      </c>
      <c r="F297" s="216">
        <f t="shared" si="83"/>
        <v>0.74534257599999998</v>
      </c>
      <c r="G297" s="217">
        <f t="shared" si="84"/>
        <v>3.3018676116799996E-7</v>
      </c>
      <c r="H297" s="207"/>
    </row>
    <row r="298" spans="2:8" ht="13.8" x14ac:dyDescent="0.25">
      <c r="B298" s="215" t="s">
        <v>24</v>
      </c>
      <c r="C298" s="216">
        <f t="shared" si="81"/>
        <v>10</v>
      </c>
      <c r="D298" s="216">
        <f t="shared" si="82"/>
        <v>44.5</v>
      </c>
      <c r="E298" s="216">
        <f t="shared" si="85"/>
        <v>445</v>
      </c>
      <c r="F298" s="216">
        <f t="shared" si="83"/>
        <v>0.72836008699999999</v>
      </c>
      <c r="G298" s="217">
        <f t="shared" si="84"/>
        <v>3.2412023871499998E-7</v>
      </c>
      <c r="H298" s="207"/>
    </row>
    <row r="299" spans="2:8" ht="13.8" x14ac:dyDescent="0.25">
      <c r="B299" s="215" t="s">
        <v>406</v>
      </c>
      <c r="C299" s="216">
        <f t="shared" si="81"/>
        <v>10</v>
      </c>
      <c r="D299" s="216">
        <f t="shared" si="82"/>
        <v>44.2</v>
      </c>
      <c r="E299" s="216">
        <f t="shared" si="85"/>
        <v>442</v>
      </c>
      <c r="F299" s="216" t="str">
        <f t="shared" si="83"/>
        <v/>
      </c>
      <c r="G299" s="217" t="str">
        <f t="shared" si="84"/>
        <v/>
      </c>
      <c r="H299" s="207"/>
    </row>
    <row r="300" spans="2:8" ht="13.8" x14ac:dyDescent="0.25">
      <c r="B300" s="215" t="s">
        <v>22</v>
      </c>
      <c r="C300" s="216">
        <f t="shared" ref="C300:C309" si="86">VLOOKUP(B300,Fisheries,2,FALSE)</f>
        <v>10</v>
      </c>
      <c r="D300" s="216">
        <f t="shared" ref="D300:D309" si="87">VLOOKUP(B300,fuelInfo,4,FALSE)</f>
        <v>27.5</v>
      </c>
      <c r="E300" s="216">
        <f t="shared" ref="E300:E309" si="88">C300*D300</f>
        <v>275</v>
      </c>
      <c r="F300" s="216" t="str">
        <f t="shared" ref="F300:F309" si="89">IF(VLOOKUP(B300,Density_Config,2,FALSE)=0,"",VLOOKUP(B300,Density_Config,2,FALSE))</f>
        <v/>
      </c>
      <c r="G300" s="217" t="str">
        <f t="shared" ref="G300:G309" si="90">IFERROR((E300/1000000000)*F300,"")</f>
        <v/>
      </c>
      <c r="H300" s="207"/>
    </row>
    <row r="301" spans="2:8" ht="13.8" x14ac:dyDescent="0.25">
      <c r="B301" s="215" t="s">
        <v>401</v>
      </c>
      <c r="C301" s="216">
        <f t="shared" si="86"/>
        <v>10</v>
      </c>
      <c r="D301" s="216">
        <f t="shared" si="87"/>
        <v>43.8</v>
      </c>
      <c r="E301" s="216">
        <f t="shared" si="88"/>
        <v>438</v>
      </c>
      <c r="F301" s="216">
        <f t="shared" si="89"/>
        <v>0.84832134292565942</v>
      </c>
      <c r="G301" s="217">
        <f t="shared" si="90"/>
        <v>3.7156474820143883E-7</v>
      </c>
      <c r="H301" s="207"/>
    </row>
    <row r="302" spans="2:8" ht="13.8" x14ac:dyDescent="0.25">
      <c r="B302" s="215" t="s">
        <v>422</v>
      </c>
      <c r="C302" s="216">
        <f t="shared" si="86"/>
        <v>10</v>
      </c>
      <c r="D302" s="216">
        <f t="shared" si="87"/>
        <v>27.4</v>
      </c>
      <c r="E302" s="216">
        <f t="shared" si="88"/>
        <v>274</v>
      </c>
      <c r="F302" s="216" t="str">
        <f t="shared" si="89"/>
        <v/>
      </c>
      <c r="G302" s="217" t="str">
        <f t="shared" si="90"/>
        <v/>
      </c>
      <c r="H302" s="207"/>
    </row>
    <row r="303" spans="2:8" ht="13.8" x14ac:dyDescent="0.25">
      <c r="B303" s="215" t="s">
        <v>409</v>
      </c>
      <c r="C303" s="216">
        <f t="shared" si="86"/>
        <v>5</v>
      </c>
      <c r="D303" s="216">
        <f t="shared" si="87"/>
        <v>49.5</v>
      </c>
      <c r="E303" s="216">
        <f t="shared" si="88"/>
        <v>247.5</v>
      </c>
      <c r="F303" s="216" t="str">
        <f t="shared" si="89"/>
        <v/>
      </c>
      <c r="G303" s="217" t="str">
        <f t="shared" si="90"/>
        <v/>
      </c>
      <c r="H303" s="207"/>
    </row>
    <row r="304" spans="2:8" ht="13.8" x14ac:dyDescent="0.25">
      <c r="B304" s="215" t="s">
        <v>408</v>
      </c>
      <c r="C304" s="216">
        <f t="shared" si="86"/>
        <v>10</v>
      </c>
      <c r="D304" s="216">
        <f t="shared" si="87"/>
        <v>43</v>
      </c>
      <c r="E304" s="216">
        <f t="shared" si="88"/>
        <v>430</v>
      </c>
      <c r="F304" s="216" t="str">
        <f t="shared" si="89"/>
        <v/>
      </c>
      <c r="G304" s="217" t="str">
        <f t="shared" si="90"/>
        <v/>
      </c>
      <c r="H304" s="207"/>
    </row>
    <row r="305" spans="2:8" ht="13.8" x14ac:dyDescent="0.25">
      <c r="B305" s="215" t="s">
        <v>385</v>
      </c>
      <c r="C305" s="216">
        <f t="shared" si="86"/>
        <v>10</v>
      </c>
      <c r="D305" s="216">
        <f t="shared" si="87"/>
        <v>40.4</v>
      </c>
      <c r="E305" s="216">
        <f t="shared" si="88"/>
        <v>404</v>
      </c>
      <c r="F305" s="216">
        <f t="shared" si="89"/>
        <v>0.96108308600000003</v>
      </c>
      <c r="G305" s="217">
        <f t="shared" si="90"/>
        <v>3.8827756674400001E-7</v>
      </c>
      <c r="H305" s="207"/>
    </row>
    <row r="306" spans="2:8" ht="13.8" x14ac:dyDescent="0.25">
      <c r="B306" s="215" t="s">
        <v>383</v>
      </c>
      <c r="C306" s="216">
        <f t="shared" si="86"/>
        <v>10</v>
      </c>
      <c r="D306" s="216">
        <f t="shared" si="87"/>
        <v>38.1</v>
      </c>
      <c r="E306" s="216">
        <f t="shared" si="88"/>
        <v>381</v>
      </c>
      <c r="F306" s="216" t="str">
        <f t="shared" si="89"/>
        <v/>
      </c>
      <c r="G306" s="217" t="str">
        <f t="shared" si="90"/>
        <v/>
      </c>
      <c r="H306" s="207"/>
    </row>
    <row r="307" spans="2:8" ht="13.8" x14ac:dyDescent="0.25">
      <c r="B307" s="215" t="s">
        <v>613</v>
      </c>
      <c r="C307" s="216">
        <f t="shared" si="86"/>
        <v>3</v>
      </c>
      <c r="D307" s="216">
        <f t="shared" si="87"/>
        <v>11.8</v>
      </c>
      <c r="E307" s="216">
        <f t="shared" si="88"/>
        <v>35.400000000000006</v>
      </c>
      <c r="F307" s="216" t="str">
        <f t="shared" si="89"/>
        <v/>
      </c>
      <c r="G307" s="217" t="str">
        <f t="shared" si="90"/>
        <v/>
      </c>
      <c r="H307" s="207"/>
    </row>
    <row r="308" spans="2:8" ht="13.8" x14ac:dyDescent="0.25">
      <c r="B308" s="215" t="s">
        <v>420</v>
      </c>
      <c r="C308" s="216">
        <f t="shared" si="86"/>
        <v>300</v>
      </c>
      <c r="D308" s="216">
        <f t="shared" si="87"/>
        <v>40.200000000000003</v>
      </c>
      <c r="E308" s="216">
        <f t="shared" si="88"/>
        <v>12060</v>
      </c>
      <c r="F308" s="216" t="str">
        <f t="shared" si="89"/>
        <v/>
      </c>
      <c r="G308" s="217" t="str">
        <f t="shared" si="90"/>
        <v/>
      </c>
      <c r="H308" s="207"/>
    </row>
    <row r="309" spans="2:8" ht="14.4" thickBot="1" x14ac:dyDescent="0.3">
      <c r="B309" s="218" t="s">
        <v>411</v>
      </c>
      <c r="C309" s="216">
        <f t="shared" si="86"/>
        <v>10</v>
      </c>
      <c r="D309" s="216">
        <f t="shared" si="87"/>
        <v>40.200000000000003</v>
      </c>
      <c r="E309" s="216">
        <f t="shared" si="88"/>
        <v>402</v>
      </c>
      <c r="F309" s="216" t="str">
        <f t="shared" si="89"/>
        <v/>
      </c>
      <c r="G309" s="217" t="str">
        <f t="shared" si="90"/>
        <v/>
      </c>
      <c r="H309" s="207"/>
    </row>
    <row r="310" spans="2:8" ht="14.4" thickBot="1" x14ac:dyDescent="0.3">
      <c r="B310" s="221" t="s">
        <v>267</v>
      </c>
      <c r="C310" s="222"/>
      <c r="D310" s="222"/>
      <c r="E310" s="222"/>
      <c r="F310" s="222"/>
      <c r="G310" s="223"/>
      <c r="H310" s="207"/>
    </row>
    <row r="311" spans="2:8" ht="13.8" x14ac:dyDescent="0.25">
      <c r="B311" s="207"/>
      <c r="C311" s="207"/>
      <c r="D311" s="207"/>
      <c r="E311" s="207"/>
      <c r="F311" s="207"/>
      <c r="G311" s="207"/>
      <c r="H311" s="207"/>
    </row>
    <row r="312" spans="2:8" ht="14.4" thickBot="1" x14ac:dyDescent="0.3">
      <c r="B312" s="207"/>
      <c r="C312" s="207"/>
      <c r="D312" s="207"/>
      <c r="E312" s="207"/>
      <c r="F312" s="207"/>
      <c r="G312" s="207"/>
      <c r="H312" s="207"/>
    </row>
    <row r="313" spans="2:8" ht="14.4" thickBot="1" x14ac:dyDescent="0.3">
      <c r="B313" s="694" t="s">
        <v>168</v>
      </c>
      <c r="C313" s="695"/>
      <c r="D313" s="695"/>
      <c r="E313" s="695"/>
      <c r="F313" s="695"/>
      <c r="G313" s="696"/>
      <c r="H313" s="207"/>
    </row>
    <row r="314" spans="2:8" ht="13.8" x14ac:dyDescent="0.25">
      <c r="B314" s="207"/>
      <c r="C314" s="207"/>
      <c r="D314" s="207"/>
      <c r="E314" s="207"/>
      <c r="F314" s="207"/>
      <c r="G314" s="207"/>
      <c r="H314" s="207"/>
    </row>
    <row r="315" spans="2:8" ht="14.4" thickBot="1" x14ac:dyDescent="0.3">
      <c r="B315" s="207"/>
      <c r="C315" s="207"/>
      <c r="D315" s="207"/>
      <c r="E315" s="207"/>
      <c r="F315" s="207"/>
      <c r="G315" s="207"/>
      <c r="H315" s="207"/>
    </row>
    <row r="316" spans="2:8" ht="69.599999999999994" thickBot="1" x14ac:dyDescent="0.3">
      <c r="B316" s="224" t="s">
        <v>21</v>
      </c>
      <c r="C316" s="208" t="s">
        <v>643</v>
      </c>
      <c r="D316" s="209" t="s">
        <v>644</v>
      </c>
      <c r="E316" s="210" t="s">
        <v>162</v>
      </c>
      <c r="F316" s="210" t="s">
        <v>163</v>
      </c>
      <c r="G316" s="211" t="s">
        <v>645</v>
      </c>
      <c r="H316" s="207"/>
    </row>
    <row r="317" spans="2:8" ht="13.8" x14ac:dyDescent="0.25">
      <c r="B317" s="215" t="s">
        <v>415</v>
      </c>
      <c r="C317" s="216">
        <f t="shared" ref="C317:C324" si="91">VLOOKUP(B317,Energy,2,FALSE)</f>
        <v>1</v>
      </c>
      <c r="D317" s="216">
        <f t="shared" ref="D317:D324" si="92">VLOOKUP(B317,fuelInfo,4,FALSE)</f>
        <v>38.700000000000003</v>
      </c>
      <c r="E317" s="246">
        <f>C317*D317</f>
        <v>38.700000000000003</v>
      </c>
      <c r="F317" s="212" t="str">
        <f t="shared" ref="F317:F324" si="93">IF(VLOOKUP(B317,Density_Config,2,FALSE)=0,"", VLOOKUP(B317,Density_Config,2,FALSE))</f>
        <v/>
      </c>
      <c r="G317" s="214" t="str">
        <f>IFERROR((E317/1000000000)*F317,"")</f>
        <v/>
      </c>
      <c r="H317" s="207"/>
    </row>
    <row r="318" spans="2:8" ht="13.8" x14ac:dyDescent="0.25">
      <c r="B318" s="215" t="s">
        <v>416</v>
      </c>
      <c r="C318" s="216">
        <f t="shared" si="91"/>
        <v>1</v>
      </c>
      <c r="D318" s="216">
        <f t="shared" si="92"/>
        <v>38.700000000000003</v>
      </c>
      <c r="E318" s="246">
        <f t="shared" ref="E318:E324" si="94">C318*D318</f>
        <v>38.700000000000003</v>
      </c>
      <c r="F318" s="215" t="str">
        <f t="shared" si="93"/>
        <v/>
      </c>
      <c r="G318" s="217" t="str">
        <f t="shared" ref="G318:G324" si="95">IFERROR((E318/1000000000)*F318,"")</f>
        <v/>
      </c>
      <c r="H318" s="207"/>
    </row>
    <row r="319" spans="2:8" ht="13.8" x14ac:dyDescent="0.25">
      <c r="B319" s="215" t="s">
        <v>417</v>
      </c>
      <c r="C319" s="216">
        <f t="shared" si="91"/>
        <v>1</v>
      </c>
      <c r="D319" s="216">
        <f t="shared" si="92"/>
        <v>2.4700000000000002</v>
      </c>
      <c r="E319" s="246">
        <f t="shared" si="94"/>
        <v>2.4700000000000002</v>
      </c>
      <c r="F319" s="215" t="str">
        <f t="shared" si="93"/>
        <v/>
      </c>
      <c r="G319" s="217" t="str">
        <f t="shared" si="95"/>
        <v/>
      </c>
      <c r="H319" s="207"/>
    </row>
    <row r="320" spans="2:8" ht="13.8" x14ac:dyDescent="0.25">
      <c r="B320" s="215" t="s">
        <v>418</v>
      </c>
      <c r="C320" s="216">
        <f t="shared" si="91"/>
        <v>1</v>
      </c>
      <c r="D320" s="216">
        <f t="shared" si="92"/>
        <v>7.06</v>
      </c>
      <c r="E320" s="246">
        <f t="shared" si="94"/>
        <v>7.06</v>
      </c>
      <c r="F320" s="215" t="str">
        <f t="shared" si="93"/>
        <v/>
      </c>
      <c r="G320" s="217" t="str">
        <f t="shared" si="95"/>
        <v/>
      </c>
      <c r="H320" s="207"/>
    </row>
    <row r="321" spans="2:8" ht="13.8" x14ac:dyDescent="0.25">
      <c r="B321" s="215" t="s">
        <v>393</v>
      </c>
      <c r="C321" s="216">
        <f t="shared" si="91"/>
        <v>1</v>
      </c>
      <c r="D321" s="216">
        <f t="shared" si="92"/>
        <v>48</v>
      </c>
      <c r="E321" s="246">
        <f t="shared" si="94"/>
        <v>48</v>
      </c>
      <c r="F321" s="215">
        <f t="shared" si="93"/>
        <v>0.7</v>
      </c>
      <c r="G321" s="217">
        <f t="shared" si="95"/>
        <v>3.3599999999999996E-8</v>
      </c>
      <c r="H321" s="207"/>
    </row>
    <row r="322" spans="2:8" ht="13.8" x14ac:dyDescent="0.25">
      <c r="B322" s="215" t="s">
        <v>395</v>
      </c>
      <c r="C322" s="216">
        <f t="shared" si="91"/>
        <v>1</v>
      </c>
      <c r="D322" s="216">
        <f t="shared" si="92"/>
        <v>50.4</v>
      </c>
      <c r="E322" s="246">
        <f t="shared" si="94"/>
        <v>50.4</v>
      </c>
      <c r="F322" s="215" t="str">
        <f t="shared" si="93"/>
        <v/>
      </c>
      <c r="G322" s="217" t="str">
        <f t="shared" si="95"/>
        <v/>
      </c>
      <c r="H322" s="207"/>
    </row>
    <row r="323" spans="2:8" ht="13.8" x14ac:dyDescent="0.25">
      <c r="B323" s="215" t="s">
        <v>423</v>
      </c>
      <c r="C323" s="216">
        <f t="shared" si="91"/>
        <v>1</v>
      </c>
      <c r="D323" s="216">
        <f t="shared" si="92"/>
        <v>50.4</v>
      </c>
      <c r="E323" s="246">
        <f t="shared" si="94"/>
        <v>50.4</v>
      </c>
      <c r="F323" s="215" t="str">
        <f t="shared" si="93"/>
        <v/>
      </c>
      <c r="G323" s="217" t="str">
        <f t="shared" si="95"/>
        <v/>
      </c>
      <c r="H323" s="207"/>
    </row>
    <row r="324" spans="2:8" ht="14.4" thickBot="1" x14ac:dyDescent="0.3">
      <c r="B324" s="218" t="s">
        <v>424</v>
      </c>
      <c r="C324" s="219">
        <f t="shared" si="91"/>
        <v>1</v>
      </c>
      <c r="D324" s="219">
        <f t="shared" si="92"/>
        <v>50.4</v>
      </c>
      <c r="E324" s="247">
        <f t="shared" si="94"/>
        <v>50.4</v>
      </c>
      <c r="F324" s="218" t="str">
        <f t="shared" si="93"/>
        <v/>
      </c>
      <c r="G324" s="220" t="str">
        <f t="shared" si="95"/>
        <v/>
      </c>
      <c r="H324" s="207"/>
    </row>
    <row r="325" spans="2:8" ht="14.4" thickBot="1" x14ac:dyDescent="0.3">
      <c r="B325" s="226" t="s">
        <v>268</v>
      </c>
      <c r="C325" s="227"/>
      <c r="D325" s="227"/>
      <c r="E325" s="227"/>
      <c r="F325" s="227"/>
      <c r="G325" s="148"/>
      <c r="H325" s="207"/>
    </row>
    <row r="326" spans="2:8" ht="13.8" x14ac:dyDescent="0.25">
      <c r="B326" s="207"/>
      <c r="C326" s="207"/>
      <c r="D326" s="207"/>
      <c r="E326" s="207"/>
      <c r="F326" s="207"/>
      <c r="G326" s="207"/>
      <c r="H326" s="207"/>
    </row>
    <row r="327" spans="2:8" ht="14.4" thickBot="1" x14ac:dyDescent="0.3">
      <c r="B327" s="207" t="s">
        <v>171</v>
      </c>
      <c r="C327" s="207"/>
      <c r="D327" s="207"/>
      <c r="E327" s="207"/>
      <c r="F327" s="207"/>
      <c r="G327" s="207"/>
      <c r="H327" s="207"/>
    </row>
    <row r="328" spans="2:8" ht="69.599999999999994" thickBot="1" x14ac:dyDescent="0.3">
      <c r="B328" s="224" t="s">
        <v>21</v>
      </c>
      <c r="C328" s="208" t="s">
        <v>643</v>
      </c>
      <c r="D328" s="209" t="s">
        <v>644</v>
      </c>
      <c r="E328" s="210" t="s">
        <v>162</v>
      </c>
      <c r="F328" s="210" t="s">
        <v>163</v>
      </c>
      <c r="G328" s="211" t="s">
        <v>645</v>
      </c>
      <c r="H328" s="207"/>
    </row>
    <row r="329" spans="2:8" ht="13.8" x14ac:dyDescent="0.25">
      <c r="B329" s="215" t="s">
        <v>415</v>
      </c>
      <c r="C329" s="216">
        <f t="shared" ref="C329:C336" si="96">VLOOKUP(B329,Manufacturing,2,FALSE)</f>
        <v>1</v>
      </c>
      <c r="D329" s="216">
        <f t="shared" ref="D329:D336" si="97">VLOOKUP(B329,fuelInfo,4,FALSE)</f>
        <v>38.700000000000003</v>
      </c>
      <c r="E329" s="216">
        <f>C329*D329</f>
        <v>38.700000000000003</v>
      </c>
      <c r="F329" s="216" t="str">
        <f t="shared" ref="F329:F336" si="98">IF(VLOOKUP(B329,Density_Config,2,FALSE)=0,"", VLOOKUP(B329,Density_Config,2,FALSE))</f>
        <v/>
      </c>
      <c r="G329" s="217" t="str">
        <f>IFERROR((E329/1000000000)*F329,"")</f>
        <v/>
      </c>
      <c r="H329" s="207"/>
    </row>
    <row r="330" spans="2:8" ht="13.8" x14ac:dyDescent="0.25">
      <c r="B330" s="215" t="s">
        <v>416</v>
      </c>
      <c r="C330" s="216">
        <f t="shared" si="96"/>
        <v>1</v>
      </c>
      <c r="D330" s="216">
        <f t="shared" si="97"/>
        <v>38.700000000000003</v>
      </c>
      <c r="E330" s="216">
        <f t="shared" ref="E330:E336" si="99">C330*D330</f>
        <v>38.700000000000003</v>
      </c>
      <c r="F330" s="216" t="str">
        <f t="shared" si="98"/>
        <v/>
      </c>
      <c r="G330" s="217" t="str">
        <f t="shared" ref="G330:G336" si="100">IFERROR((E330/1000000000)*F330,"")</f>
        <v/>
      </c>
      <c r="H330" s="207"/>
    </row>
    <row r="331" spans="2:8" ht="13.8" x14ac:dyDescent="0.25">
      <c r="B331" s="215" t="s">
        <v>417</v>
      </c>
      <c r="C331" s="216">
        <f t="shared" si="96"/>
        <v>1</v>
      </c>
      <c r="D331" s="216">
        <f t="shared" si="97"/>
        <v>2.4700000000000002</v>
      </c>
      <c r="E331" s="216">
        <f t="shared" si="99"/>
        <v>2.4700000000000002</v>
      </c>
      <c r="F331" s="216" t="str">
        <f t="shared" si="98"/>
        <v/>
      </c>
      <c r="G331" s="217" t="str">
        <f t="shared" si="100"/>
        <v/>
      </c>
      <c r="H331" s="207"/>
    </row>
    <row r="332" spans="2:8" ht="13.8" x14ac:dyDescent="0.25">
      <c r="B332" s="215" t="s">
        <v>418</v>
      </c>
      <c r="C332" s="216">
        <f t="shared" si="96"/>
        <v>1</v>
      </c>
      <c r="D332" s="216">
        <f t="shared" si="97"/>
        <v>7.06</v>
      </c>
      <c r="E332" s="216">
        <f t="shared" si="99"/>
        <v>7.06</v>
      </c>
      <c r="F332" s="216" t="str">
        <f t="shared" si="98"/>
        <v/>
      </c>
      <c r="G332" s="217" t="str">
        <f t="shared" si="100"/>
        <v/>
      </c>
      <c r="H332" s="207"/>
    </row>
    <row r="333" spans="2:8" ht="13.8" x14ac:dyDescent="0.25">
      <c r="B333" s="215" t="s">
        <v>393</v>
      </c>
      <c r="C333" s="216">
        <f t="shared" si="96"/>
        <v>1</v>
      </c>
      <c r="D333" s="216">
        <f t="shared" si="97"/>
        <v>48</v>
      </c>
      <c r="E333" s="216">
        <f t="shared" si="99"/>
        <v>48</v>
      </c>
      <c r="F333" s="216">
        <f t="shared" si="98"/>
        <v>0.7</v>
      </c>
      <c r="G333" s="217">
        <f t="shared" si="100"/>
        <v>3.3599999999999996E-8</v>
      </c>
      <c r="H333" s="207"/>
    </row>
    <row r="334" spans="2:8" ht="13.8" x14ac:dyDescent="0.25">
      <c r="B334" s="215" t="s">
        <v>395</v>
      </c>
      <c r="C334" s="216">
        <f t="shared" si="96"/>
        <v>1</v>
      </c>
      <c r="D334" s="216">
        <f t="shared" si="97"/>
        <v>50.4</v>
      </c>
      <c r="E334" s="216">
        <f t="shared" si="99"/>
        <v>50.4</v>
      </c>
      <c r="F334" s="216" t="str">
        <f t="shared" si="98"/>
        <v/>
      </c>
      <c r="G334" s="217" t="str">
        <f t="shared" si="100"/>
        <v/>
      </c>
      <c r="H334" s="207"/>
    </row>
    <row r="335" spans="2:8" ht="13.8" x14ac:dyDescent="0.25">
      <c r="B335" s="215" t="s">
        <v>423</v>
      </c>
      <c r="C335" s="216">
        <f t="shared" si="96"/>
        <v>1</v>
      </c>
      <c r="D335" s="216">
        <f t="shared" si="97"/>
        <v>50.4</v>
      </c>
      <c r="E335" s="216">
        <f t="shared" si="99"/>
        <v>50.4</v>
      </c>
      <c r="F335" s="216" t="str">
        <f t="shared" si="98"/>
        <v/>
      </c>
      <c r="G335" s="217" t="str">
        <f t="shared" si="100"/>
        <v/>
      </c>
      <c r="H335" s="207"/>
    </row>
    <row r="336" spans="2:8" ht="14.4" thickBot="1" x14ac:dyDescent="0.3">
      <c r="B336" s="218" t="s">
        <v>424</v>
      </c>
      <c r="C336" s="219">
        <f t="shared" si="96"/>
        <v>1</v>
      </c>
      <c r="D336" s="219">
        <f t="shared" si="97"/>
        <v>50.4</v>
      </c>
      <c r="E336" s="219">
        <f t="shared" si="99"/>
        <v>50.4</v>
      </c>
      <c r="F336" s="219" t="str">
        <f t="shared" si="98"/>
        <v/>
      </c>
      <c r="G336" s="220" t="str">
        <f t="shared" si="100"/>
        <v/>
      </c>
      <c r="H336" s="207"/>
    </row>
    <row r="337" spans="2:8" ht="14.4" thickBot="1" x14ac:dyDescent="0.3">
      <c r="B337" s="226" t="s">
        <v>269</v>
      </c>
      <c r="C337" s="227"/>
      <c r="D337" s="227"/>
      <c r="E337" s="227"/>
      <c r="F337" s="227"/>
      <c r="G337" s="148"/>
      <c r="H337" s="207"/>
    </row>
    <row r="338" spans="2:8" ht="13.8" x14ac:dyDescent="0.25">
      <c r="B338" s="207"/>
      <c r="C338" s="207"/>
      <c r="D338" s="207"/>
      <c r="E338" s="207"/>
      <c r="F338" s="207"/>
      <c r="G338" s="207"/>
      <c r="H338" s="207"/>
    </row>
    <row r="339" spans="2:8" ht="14.4" thickBot="1" x14ac:dyDescent="0.3">
      <c r="B339" s="207" t="s">
        <v>172</v>
      </c>
      <c r="C339" s="207"/>
      <c r="D339" s="207"/>
      <c r="E339" s="207"/>
      <c r="F339" s="207"/>
      <c r="G339" s="207"/>
      <c r="H339" s="207"/>
    </row>
    <row r="340" spans="2:8" ht="69.599999999999994" thickBot="1" x14ac:dyDescent="0.3">
      <c r="B340" s="224" t="s">
        <v>21</v>
      </c>
      <c r="C340" s="208" t="s">
        <v>643</v>
      </c>
      <c r="D340" s="209" t="s">
        <v>644</v>
      </c>
      <c r="E340" s="210" t="s">
        <v>162</v>
      </c>
      <c r="F340" s="210" t="s">
        <v>163</v>
      </c>
      <c r="G340" s="211" t="s">
        <v>645</v>
      </c>
      <c r="H340" s="207"/>
    </row>
    <row r="341" spans="2:8" ht="13.8" x14ac:dyDescent="0.25">
      <c r="B341" s="228" t="s">
        <v>415</v>
      </c>
      <c r="C341" s="216">
        <f t="shared" ref="C341:C348" si="101">VLOOKUP(B341,Construction,2,FALSE)</f>
        <v>1</v>
      </c>
      <c r="D341" s="216">
        <f t="shared" ref="D341:D348" si="102">VLOOKUP(B341,fuelInfo,4,FALSE)</f>
        <v>38.700000000000003</v>
      </c>
      <c r="E341" s="216">
        <f>C341*D341</f>
        <v>38.700000000000003</v>
      </c>
      <c r="F341" s="216" t="str">
        <f t="shared" ref="F341:F348" si="103">IF(VLOOKUP(B341,Density_Config,2,FALSE)=0,"", VLOOKUP(B341,Density_Config,2,FALSE))</f>
        <v/>
      </c>
      <c r="G341" s="217" t="str">
        <f>IFERROR((E341/1000000000)*F341,"")</f>
        <v/>
      </c>
      <c r="H341" s="207"/>
    </row>
    <row r="342" spans="2:8" ht="13.8" x14ac:dyDescent="0.25">
      <c r="B342" s="228" t="s">
        <v>416</v>
      </c>
      <c r="C342" s="216">
        <f t="shared" si="101"/>
        <v>1</v>
      </c>
      <c r="D342" s="216">
        <f t="shared" si="102"/>
        <v>38.700000000000003</v>
      </c>
      <c r="E342" s="216">
        <f t="shared" ref="E342:E348" si="104">C342*D342</f>
        <v>38.700000000000003</v>
      </c>
      <c r="F342" s="216" t="str">
        <f t="shared" si="103"/>
        <v/>
      </c>
      <c r="G342" s="217" t="str">
        <f t="shared" ref="G342:G348" si="105">IFERROR((E342/1000000000)*F342,"")</f>
        <v/>
      </c>
      <c r="H342" s="207"/>
    </row>
    <row r="343" spans="2:8" ht="13.8" x14ac:dyDescent="0.25">
      <c r="B343" s="228" t="s">
        <v>417</v>
      </c>
      <c r="C343" s="216">
        <f t="shared" si="101"/>
        <v>1</v>
      </c>
      <c r="D343" s="216">
        <f t="shared" si="102"/>
        <v>2.4700000000000002</v>
      </c>
      <c r="E343" s="216">
        <f t="shared" si="104"/>
        <v>2.4700000000000002</v>
      </c>
      <c r="F343" s="216" t="str">
        <f t="shared" si="103"/>
        <v/>
      </c>
      <c r="G343" s="217" t="str">
        <f t="shared" si="105"/>
        <v/>
      </c>
      <c r="H343" s="207"/>
    </row>
    <row r="344" spans="2:8" ht="13.8" x14ac:dyDescent="0.25">
      <c r="B344" s="228" t="s">
        <v>418</v>
      </c>
      <c r="C344" s="216">
        <f t="shared" si="101"/>
        <v>1</v>
      </c>
      <c r="D344" s="216">
        <f t="shared" si="102"/>
        <v>7.06</v>
      </c>
      <c r="E344" s="216">
        <f t="shared" si="104"/>
        <v>7.06</v>
      </c>
      <c r="F344" s="216" t="str">
        <f t="shared" si="103"/>
        <v/>
      </c>
      <c r="G344" s="217" t="str">
        <f t="shared" si="105"/>
        <v/>
      </c>
      <c r="H344" s="207"/>
    </row>
    <row r="345" spans="2:8" ht="13.8" x14ac:dyDescent="0.25">
      <c r="B345" s="228" t="s">
        <v>393</v>
      </c>
      <c r="C345" s="216">
        <f t="shared" si="101"/>
        <v>1</v>
      </c>
      <c r="D345" s="216">
        <f t="shared" si="102"/>
        <v>48</v>
      </c>
      <c r="E345" s="216">
        <f t="shared" si="104"/>
        <v>48</v>
      </c>
      <c r="F345" s="216">
        <f t="shared" si="103"/>
        <v>0.7</v>
      </c>
      <c r="G345" s="217">
        <f t="shared" si="105"/>
        <v>3.3599999999999996E-8</v>
      </c>
      <c r="H345" s="207"/>
    </row>
    <row r="346" spans="2:8" ht="13.8" x14ac:dyDescent="0.25">
      <c r="B346" s="228" t="s">
        <v>395</v>
      </c>
      <c r="C346" s="216">
        <f t="shared" si="101"/>
        <v>1</v>
      </c>
      <c r="D346" s="216">
        <f t="shared" si="102"/>
        <v>50.4</v>
      </c>
      <c r="E346" s="216">
        <f t="shared" si="104"/>
        <v>50.4</v>
      </c>
      <c r="F346" s="216" t="str">
        <f t="shared" si="103"/>
        <v/>
      </c>
      <c r="G346" s="217" t="str">
        <f t="shared" si="105"/>
        <v/>
      </c>
      <c r="H346" s="207"/>
    </row>
    <row r="347" spans="2:8" ht="13.8" x14ac:dyDescent="0.25">
      <c r="B347" s="228" t="s">
        <v>423</v>
      </c>
      <c r="C347" s="216">
        <f t="shared" si="101"/>
        <v>1</v>
      </c>
      <c r="D347" s="216">
        <f t="shared" si="102"/>
        <v>50.4</v>
      </c>
      <c r="E347" s="216">
        <f t="shared" si="104"/>
        <v>50.4</v>
      </c>
      <c r="F347" s="216" t="str">
        <f t="shared" si="103"/>
        <v/>
      </c>
      <c r="G347" s="217" t="str">
        <f t="shared" si="105"/>
        <v/>
      </c>
      <c r="H347" s="207"/>
    </row>
    <row r="348" spans="2:8" ht="14.4" thickBot="1" x14ac:dyDescent="0.3">
      <c r="B348" s="229" t="s">
        <v>424</v>
      </c>
      <c r="C348" s="216">
        <f t="shared" si="101"/>
        <v>1</v>
      </c>
      <c r="D348" s="216">
        <f t="shared" si="102"/>
        <v>50.4</v>
      </c>
      <c r="E348" s="216">
        <f t="shared" si="104"/>
        <v>50.4</v>
      </c>
      <c r="F348" s="219" t="str">
        <f t="shared" si="103"/>
        <v/>
      </c>
      <c r="G348" s="220" t="str">
        <f t="shared" si="105"/>
        <v/>
      </c>
      <c r="H348" s="207"/>
    </row>
    <row r="349" spans="2:8" ht="14.4" thickBot="1" x14ac:dyDescent="0.3">
      <c r="B349" s="226" t="s">
        <v>270</v>
      </c>
      <c r="C349" s="227"/>
      <c r="D349" s="227"/>
      <c r="E349" s="227"/>
      <c r="F349" s="227"/>
      <c r="G349" s="148"/>
      <c r="H349" s="207"/>
    </row>
    <row r="350" spans="2:8" ht="13.8" x14ac:dyDescent="0.25">
      <c r="B350" s="207"/>
      <c r="C350" s="207"/>
      <c r="D350" s="207"/>
      <c r="E350" s="207"/>
      <c r="F350" s="207"/>
      <c r="G350" s="207"/>
      <c r="H350" s="207"/>
    </row>
    <row r="351" spans="2:8" ht="14.4" thickBot="1" x14ac:dyDescent="0.3">
      <c r="B351" s="207" t="s">
        <v>173</v>
      </c>
      <c r="C351" s="207"/>
      <c r="D351" s="207"/>
      <c r="E351" s="207"/>
      <c r="F351" s="207"/>
      <c r="G351" s="207"/>
      <c r="H351" s="207"/>
    </row>
    <row r="352" spans="2:8" ht="69.599999999999994" thickBot="1" x14ac:dyDescent="0.3">
      <c r="B352" s="224" t="s">
        <v>21</v>
      </c>
      <c r="C352" s="208" t="s">
        <v>643</v>
      </c>
      <c r="D352" s="209" t="s">
        <v>644</v>
      </c>
      <c r="E352" s="210" t="s">
        <v>162</v>
      </c>
      <c r="F352" s="210" t="s">
        <v>163</v>
      </c>
      <c r="G352" s="211" t="s">
        <v>645</v>
      </c>
      <c r="H352" s="207"/>
    </row>
    <row r="353" spans="2:8" ht="13.8" x14ac:dyDescent="0.25">
      <c r="B353" s="215" t="s">
        <v>415</v>
      </c>
      <c r="C353" s="216">
        <f t="shared" ref="C353:C360" si="106">VLOOKUP(B353,Commercial,2,FALSE)</f>
        <v>5</v>
      </c>
      <c r="D353" s="216">
        <f t="shared" ref="D353:D360" si="107">VLOOKUP(B353,fuelInfo,4,FALSE)</f>
        <v>38.700000000000003</v>
      </c>
      <c r="E353" s="216">
        <f>C353*D353</f>
        <v>193.5</v>
      </c>
      <c r="F353" s="216" t="str">
        <f t="shared" ref="F353:F360" si="108">IF(VLOOKUP(B353,Density_Config,2,FALSE)=0,"", VLOOKUP(B353,Density_Config,2,FALSE))</f>
        <v/>
      </c>
      <c r="G353" s="217" t="str">
        <f>IFERROR((E353/1000000000)*F353,"")</f>
        <v/>
      </c>
      <c r="H353" s="207"/>
    </row>
    <row r="354" spans="2:8" ht="13.8" x14ac:dyDescent="0.25">
      <c r="B354" s="215" t="s">
        <v>416</v>
      </c>
      <c r="C354" s="216">
        <f t="shared" si="106"/>
        <v>5</v>
      </c>
      <c r="D354" s="216">
        <f t="shared" si="107"/>
        <v>38.700000000000003</v>
      </c>
      <c r="E354" s="216">
        <f t="shared" ref="E354:E360" si="109">C354*D354</f>
        <v>193.5</v>
      </c>
      <c r="F354" s="216" t="str">
        <f t="shared" si="108"/>
        <v/>
      </c>
      <c r="G354" s="217" t="str">
        <f t="shared" ref="G354:G360" si="110">IFERROR((E354/1000000000)*F354,"")</f>
        <v/>
      </c>
      <c r="H354" s="207"/>
    </row>
    <row r="355" spans="2:8" ht="13.8" x14ac:dyDescent="0.25">
      <c r="B355" s="215" t="s">
        <v>417</v>
      </c>
      <c r="C355" s="216">
        <f t="shared" si="106"/>
        <v>5</v>
      </c>
      <c r="D355" s="216">
        <f t="shared" si="107"/>
        <v>2.4700000000000002</v>
      </c>
      <c r="E355" s="216">
        <f t="shared" si="109"/>
        <v>12.350000000000001</v>
      </c>
      <c r="F355" s="216" t="str">
        <f t="shared" si="108"/>
        <v/>
      </c>
      <c r="G355" s="217" t="str">
        <f t="shared" si="110"/>
        <v/>
      </c>
      <c r="H355" s="207"/>
    </row>
    <row r="356" spans="2:8" ht="13.8" x14ac:dyDescent="0.25">
      <c r="B356" s="215" t="s">
        <v>418</v>
      </c>
      <c r="C356" s="216">
        <f t="shared" si="106"/>
        <v>5</v>
      </c>
      <c r="D356" s="216">
        <f t="shared" si="107"/>
        <v>7.06</v>
      </c>
      <c r="E356" s="216">
        <f t="shared" si="109"/>
        <v>35.299999999999997</v>
      </c>
      <c r="F356" s="216" t="str">
        <f t="shared" si="108"/>
        <v/>
      </c>
      <c r="G356" s="217" t="str">
        <f t="shared" si="110"/>
        <v/>
      </c>
      <c r="H356" s="207"/>
    </row>
    <row r="357" spans="2:8" ht="13.8" x14ac:dyDescent="0.25">
      <c r="B357" s="215" t="s">
        <v>393</v>
      </c>
      <c r="C357" s="216">
        <f t="shared" si="106"/>
        <v>5</v>
      </c>
      <c r="D357" s="216">
        <f t="shared" si="107"/>
        <v>48</v>
      </c>
      <c r="E357" s="216">
        <f t="shared" si="109"/>
        <v>240</v>
      </c>
      <c r="F357" s="216">
        <f t="shared" si="108"/>
        <v>0.7</v>
      </c>
      <c r="G357" s="217">
        <f t="shared" si="110"/>
        <v>1.6799999999999997E-7</v>
      </c>
      <c r="H357" s="207"/>
    </row>
    <row r="358" spans="2:8" ht="13.8" x14ac:dyDescent="0.25">
      <c r="B358" s="215" t="s">
        <v>395</v>
      </c>
      <c r="C358" s="216">
        <f t="shared" si="106"/>
        <v>5</v>
      </c>
      <c r="D358" s="216">
        <f t="shared" si="107"/>
        <v>50.4</v>
      </c>
      <c r="E358" s="216">
        <f t="shared" si="109"/>
        <v>252</v>
      </c>
      <c r="F358" s="216" t="str">
        <f t="shared" si="108"/>
        <v/>
      </c>
      <c r="G358" s="217" t="str">
        <f t="shared" si="110"/>
        <v/>
      </c>
      <c r="H358" s="207"/>
    </row>
    <row r="359" spans="2:8" ht="13.8" x14ac:dyDescent="0.25">
      <c r="B359" s="215" t="s">
        <v>423</v>
      </c>
      <c r="C359" s="216">
        <f t="shared" si="106"/>
        <v>5</v>
      </c>
      <c r="D359" s="216">
        <f t="shared" si="107"/>
        <v>50.4</v>
      </c>
      <c r="E359" s="216">
        <f t="shared" si="109"/>
        <v>252</v>
      </c>
      <c r="F359" s="216" t="str">
        <f t="shared" si="108"/>
        <v/>
      </c>
      <c r="G359" s="217" t="str">
        <f t="shared" si="110"/>
        <v/>
      </c>
      <c r="H359" s="207"/>
    </row>
    <row r="360" spans="2:8" ht="14.4" thickBot="1" x14ac:dyDescent="0.3">
      <c r="B360" s="218" t="s">
        <v>424</v>
      </c>
      <c r="C360" s="219">
        <f t="shared" si="106"/>
        <v>5</v>
      </c>
      <c r="D360" s="219">
        <f t="shared" si="107"/>
        <v>50.4</v>
      </c>
      <c r="E360" s="219">
        <f t="shared" si="109"/>
        <v>252</v>
      </c>
      <c r="F360" s="219" t="str">
        <f t="shared" si="108"/>
        <v/>
      </c>
      <c r="G360" s="220" t="str">
        <f t="shared" si="110"/>
        <v/>
      </c>
      <c r="H360" s="207"/>
    </row>
    <row r="361" spans="2:8" ht="14.4" thickBot="1" x14ac:dyDescent="0.3">
      <c r="B361" s="226" t="s">
        <v>271</v>
      </c>
      <c r="C361" s="227"/>
      <c r="D361" s="227"/>
      <c r="E361" s="227"/>
      <c r="F361" s="227"/>
      <c r="G361" s="148"/>
      <c r="H361" s="207"/>
    </row>
    <row r="362" spans="2:8" ht="13.8" x14ac:dyDescent="0.25">
      <c r="B362" s="207"/>
      <c r="C362" s="207"/>
      <c r="D362" s="207"/>
      <c r="E362" s="207"/>
      <c r="F362" s="207"/>
      <c r="G362" s="207"/>
      <c r="H362" s="207"/>
    </row>
    <row r="363" spans="2:8" ht="14.4" thickBot="1" x14ac:dyDescent="0.3">
      <c r="B363" s="207" t="s">
        <v>174</v>
      </c>
      <c r="C363" s="207"/>
      <c r="D363" s="207"/>
      <c r="E363" s="207"/>
      <c r="F363" s="207"/>
      <c r="G363" s="207"/>
      <c r="H363" s="207"/>
    </row>
    <row r="364" spans="2:8" ht="69.599999999999994" thickBot="1" x14ac:dyDescent="0.3">
      <c r="B364" s="224" t="s">
        <v>21</v>
      </c>
      <c r="C364" s="208" t="s">
        <v>643</v>
      </c>
      <c r="D364" s="209" t="s">
        <v>644</v>
      </c>
      <c r="E364" s="210" t="s">
        <v>162</v>
      </c>
      <c r="F364" s="210" t="s">
        <v>163</v>
      </c>
      <c r="G364" s="211" t="s">
        <v>645</v>
      </c>
      <c r="H364" s="207"/>
    </row>
    <row r="365" spans="2:8" ht="13.8" x14ac:dyDescent="0.25">
      <c r="B365" s="215" t="s">
        <v>415</v>
      </c>
      <c r="C365" s="216">
        <f t="shared" ref="C365:C372" si="111">VLOOKUP(B365,Institutional,2,FALSE)</f>
        <v>5</v>
      </c>
      <c r="D365" s="216">
        <f t="shared" ref="D365:D372" si="112">VLOOKUP(B365,fuelInfo,4,FALSE)</f>
        <v>38.700000000000003</v>
      </c>
      <c r="E365" s="216">
        <f>C365*D365</f>
        <v>193.5</v>
      </c>
      <c r="F365" s="216" t="str">
        <f t="shared" ref="F365:F372" si="113">IF(VLOOKUP(B365,Density_Config,2,FALSE)=0,"", VLOOKUP(B365,Density_Config,2,FALSE))</f>
        <v/>
      </c>
      <c r="G365" s="217" t="str">
        <f>IFERROR((E365/1000000000)*F365,"")</f>
        <v/>
      </c>
      <c r="H365" s="207"/>
    </row>
    <row r="366" spans="2:8" ht="13.8" x14ac:dyDescent="0.25">
      <c r="B366" s="215" t="s">
        <v>416</v>
      </c>
      <c r="C366" s="216">
        <f t="shared" si="111"/>
        <v>5</v>
      </c>
      <c r="D366" s="216">
        <f t="shared" si="112"/>
        <v>38.700000000000003</v>
      </c>
      <c r="E366" s="216">
        <f t="shared" ref="E366:E372" si="114">C366*D366</f>
        <v>193.5</v>
      </c>
      <c r="F366" s="216" t="str">
        <f t="shared" si="113"/>
        <v/>
      </c>
      <c r="G366" s="217" t="str">
        <f t="shared" ref="G366:G372" si="115">IFERROR((E366/1000000000)*F366,"")</f>
        <v/>
      </c>
      <c r="H366" s="207"/>
    </row>
    <row r="367" spans="2:8" ht="13.8" x14ac:dyDescent="0.25">
      <c r="B367" s="215" t="s">
        <v>417</v>
      </c>
      <c r="C367" s="216">
        <f t="shared" si="111"/>
        <v>5</v>
      </c>
      <c r="D367" s="216">
        <f t="shared" si="112"/>
        <v>2.4700000000000002</v>
      </c>
      <c r="E367" s="216">
        <f t="shared" si="114"/>
        <v>12.350000000000001</v>
      </c>
      <c r="F367" s="216" t="str">
        <f t="shared" si="113"/>
        <v/>
      </c>
      <c r="G367" s="217" t="str">
        <f t="shared" si="115"/>
        <v/>
      </c>
      <c r="H367" s="207"/>
    </row>
    <row r="368" spans="2:8" ht="13.8" x14ac:dyDescent="0.25">
      <c r="B368" s="215" t="s">
        <v>418</v>
      </c>
      <c r="C368" s="216">
        <f t="shared" si="111"/>
        <v>5</v>
      </c>
      <c r="D368" s="216">
        <f t="shared" si="112"/>
        <v>7.06</v>
      </c>
      <c r="E368" s="216">
        <f t="shared" si="114"/>
        <v>35.299999999999997</v>
      </c>
      <c r="F368" s="216" t="str">
        <f t="shared" si="113"/>
        <v/>
      </c>
      <c r="G368" s="217" t="str">
        <f t="shared" si="115"/>
        <v/>
      </c>
      <c r="H368" s="207"/>
    </row>
    <row r="369" spans="2:8" ht="13.8" x14ac:dyDescent="0.25">
      <c r="B369" s="215" t="s">
        <v>393</v>
      </c>
      <c r="C369" s="216">
        <f t="shared" si="111"/>
        <v>5</v>
      </c>
      <c r="D369" s="216">
        <f t="shared" si="112"/>
        <v>48</v>
      </c>
      <c r="E369" s="216">
        <f t="shared" si="114"/>
        <v>240</v>
      </c>
      <c r="F369" s="216">
        <f t="shared" si="113"/>
        <v>0.7</v>
      </c>
      <c r="G369" s="217">
        <f t="shared" si="115"/>
        <v>1.6799999999999997E-7</v>
      </c>
      <c r="H369" s="207"/>
    </row>
    <row r="370" spans="2:8" ht="13.8" x14ac:dyDescent="0.25">
      <c r="B370" s="215" t="s">
        <v>395</v>
      </c>
      <c r="C370" s="216">
        <f t="shared" si="111"/>
        <v>5</v>
      </c>
      <c r="D370" s="216">
        <f t="shared" si="112"/>
        <v>50.4</v>
      </c>
      <c r="E370" s="216">
        <f t="shared" si="114"/>
        <v>252</v>
      </c>
      <c r="F370" s="216" t="str">
        <f t="shared" si="113"/>
        <v/>
      </c>
      <c r="G370" s="217" t="str">
        <f t="shared" si="115"/>
        <v/>
      </c>
      <c r="H370" s="207"/>
    </row>
    <row r="371" spans="2:8" ht="13.8" x14ac:dyDescent="0.25">
      <c r="B371" s="215" t="s">
        <v>423</v>
      </c>
      <c r="C371" s="216">
        <f t="shared" si="111"/>
        <v>5</v>
      </c>
      <c r="D371" s="216">
        <f t="shared" si="112"/>
        <v>50.4</v>
      </c>
      <c r="E371" s="216">
        <f t="shared" si="114"/>
        <v>252</v>
      </c>
      <c r="F371" s="216" t="str">
        <f t="shared" si="113"/>
        <v/>
      </c>
      <c r="G371" s="217" t="str">
        <f t="shared" si="115"/>
        <v/>
      </c>
      <c r="H371" s="207"/>
    </row>
    <row r="372" spans="2:8" ht="14.4" thickBot="1" x14ac:dyDescent="0.3">
      <c r="B372" s="218" t="s">
        <v>424</v>
      </c>
      <c r="C372" s="219">
        <f t="shared" si="111"/>
        <v>5</v>
      </c>
      <c r="D372" s="219">
        <f t="shared" si="112"/>
        <v>50.4</v>
      </c>
      <c r="E372" s="219">
        <f t="shared" si="114"/>
        <v>252</v>
      </c>
      <c r="F372" s="219" t="str">
        <f t="shared" si="113"/>
        <v/>
      </c>
      <c r="G372" s="220" t="str">
        <f t="shared" si="115"/>
        <v/>
      </c>
      <c r="H372" s="207"/>
    </row>
    <row r="373" spans="2:8" ht="14.4" thickBot="1" x14ac:dyDescent="0.3">
      <c r="B373" s="226" t="s">
        <v>272</v>
      </c>
      <c r="C373" s="227"/>
      <c r="D373" s="227"/>
      <c r="E373" s="227"/>
      <c r="F373" s="227"/>
      <c r="G373" s="148"/>
      <c r="H373" s="207"/>
    </row>
    <row r="374" spans="2:8" ht="13.8" x14ac:dyDescent="0.25">
      <c r="B374" s="207"/>
      <c r="C374" s="207"/>
      <c r="D374" s="207"/>
      <c r="E374" s="207"/>
      <c r="F374" s="207"/>
      <c r="G374" s="207"/>
      <c r="H374" s="207"/>
    </row>
    <row r="375" spans="2:8" ht="14.4" thickBot="1" x14ac:dyDescent="0.3">
      <c r="B375" s="207" t="s">
        <v>175</v>
      </c>
      <c r="C375" s="207"/>
      <c r="D375" s="207"/>
      <c r="E375" s="207"/>
      <c r="F375" s="207"/>
      <c r="G375" s="207"/>
      <c r="H375" s="207"/>
    </row>
    <row r="376" spans="2:8" ht="69.599999999999994" thickBot="1" x14ac:dyDescent="0.3">
      <c r="B376" s="224" t="s">
        <v>21</v>
      </c>
      <c r="C376" s="208" t="s">
        <v>643</v>
      </c>
      <c r="D376" s="209" t="s">
        <v>644</v>
      </c>
      <c r="E376" s="210" t="s">
        <v>162</v>
      </c>
      <c r="F376" s="210" t="s">
        <v>163</v>
      </c>
      <c r="G376" s="211" t="s">
        <v>645</v>
      </c>
      <c r="H376" s="207"/>
    </row>
    <row r="377" spans="2:8" ht="13.8" x14ac:dyDescent="0.25">
      <c r="B377" s="212" t="s">
        <v>415</v>
      </c>
      <c r="C377" s="213">
        <f t="shared" ref="C377:C384" si="116">VLOOKUP(B377,Residential,2,FALSE)</f>
        <v>5</v>
      </c>
      <c r="D377" s="213">
        <f t="shared" ref="D377:D384" si="117">VLOOKUP(B377,fuelInfo,4,FALSE)</f>
        <v>38.700000000000003</v>
      </c>
      <c r="E377" s="213">
        <f>C377*D377</f>
        <v>193.5</v>
      </c>
      <c r="F377" s="216" t="str">
        <f t="shared" ref="F377:F384" si="118">IF(VLOOKUP(B377,Density_Config,2,FALSE)=0,"", VLOOKUP(B377,Density_Config,2,FALSE))</f>
        <v/>
      </c>
      <c r="G377" s="214" t="str">
        <f>IFERROR((E377/1000000000)*F377,"")</f>
        <v/>
      </c>
      <c r="H377" s="207"/>
    </row>
    <row r="378" spans="2:8" ht="13.8" x14ac:dyDescent="0.25">
      <c r="B378" s="215" t="s">
        <v>416</v>
      </c>
      <c r="C378" s="216">
        <f t="shared" si="116"/>
        <v>5</v>
      </c>
      <c r="D378" s="216">
        <f t="shared" si="117"/>
        <v>38.700000000000003</v>
      </c>
      <c r="E378" s="216">
        <f t="shared" ref="E378:E384" si="119">C378*D378</f>
        <v>193.5</v>
      </c>
      <c r="F378" s="216" t="str">
        <f t="shared" si="118"/>
        <v/>
      </c>
      <c r="G378" s="217" t="str">
        <f t="shared" ref="G378:G384" si="120">IFERROR((E378/1000000000)*F378,"")</f>
        <v/>
      </c>
      <c r="H378" s="207"/>
    </row>
    <row r="379" spans="2:8" ht="13.8" x14ac:dyDescent="0.25">
      <c r="B379" s="215" t="s">
        <v>417</v>
      </c>
      <c r="C379" s="216">
        <f t="shared" si="116"/>
        <v>5</v>
      </c>
      <c r="D379" s="216">
        <f t="shared" si="117"/>
        <v>2.4700000000000002</v>
      </c>
      <c r="E379" s="216">
        <f t="shared" si="119"/>
        <v>12.350000000000001</v>
      </c>
      <c r="F379" s="216" t="str">
        <f t="shared" si="118"/>
        <v/>
      </c>
      <c r="G379" s="217" t="str">
        <f t="shared" si="120"/>
        <v/>
      </c>
      <c r="H379" s="207"/>
    </row>
    <row r="380" spans="2:8" ht="13.8" x14ac:dyDescent="0.25">
      <c r="B380" s="215" t="s">
        <v>418</v>
      </c>
      <c r="C380" s="216">
        <f t="shared" si="116"/>
        <v>5</v>
      </c>
      <c r="D380" s="216">
        <f t="shared" si="117"/>
        <v>7.06</v>
      </c>
      <c r="E380" s="216">
        <f t="shared" si="119"/>
        <v>35.299999999999997</v>
      </c>
      <c r="F380" s="216" t="str">
        <f t="shared" si="118"/>
        <v/>
      </c>
      <c r="G380" s="217" t="str">
        <f t="shared" si="120"/>
        <v/>
      </c>
      <c r="H380" s="207"/>
    </row>
    <row r="381" spans="2:8" ht="13.8" x14ac:dyDescent="0.25">
      <c r="B381" s="215" t="s">
        <v>393</v>
      </c>
      <c r="C381" s="216">
        <f t="shared" si="116"/>
        <v>5</v>
      </c>
      <c r="D381" s="216">
        <f t="shared" si="117"/>
        <v>48</v>
      </c>
      <c r="E381" s="216">
        <f t="shared" si="119"/>
        <v>240</v>
      </c>
      <c r="F381" s="216">
        <f t="shared" si="118"/>
        <v>0.7</v>
      </c>
      <c r="G381" s="217">
        <f t="shared" si="120"/>
        <v>1.6799999999999997E-7</v>
      </c>
      <c r="H381" s="207"/>
    </row>
    <row r="382" spans="2:8" ht="13.8" x14ac:dyDescent="0.25">
      <c r="B382" s="215" t="s">
        <v>395</v>
      </c>
      <c r="C382" s="216">
        <f t="shared" si="116"/>
        <v>5</v>
      </c>
      <c r="D382" s="216">
        <f t="shared" si="117"/>
        <v>50.4</v>
      </c>
      <c r="E382" s="216">
        <f t="shared" si="119"/>
        <v>252</v>
      </c>
      <c r="F382" s="216" t="str">
        <f t="shared" si="118"/>
        <v/>
      </c>
      <c r="G382" s="217" t="str">
        <f t="shared" si="120"/>
        <v/>
      </c>
      <c r="H382" s="207"/>
    </row>
    <row r="383" spans="2:8" ht="13.8" x14ac:dyDescent="0.25">
      <c r="B383" s="215" t="s">
        <v>423</v>
      </c>
      <c r="C383" s="216">
        <f t="shared" si="116"/>
        <v>5</v>
      </c>
      <c r="D383" s="216">
        <f t="shared" si="117"/>
        <v>50.4</v>
      </c>
      <c r="E383" s="216">
        <f t="shared" si="119"/>
        <v>252</v>
      </c>
      <c r="F383" s="216" t="str">
        <f t="shared" si="118"/>
        <v/>
      </c>
      <c r="G383" s="217" t="str">
        <f t="shared" si="120"/>
        <v/>
      </c>
      <c r="H383" s="207"/>
    </row>
    <row r="384" spans="2:8" ht="14.4" thickBot="1" x14ac:dyDescent="0.3">
      <c r="B384" s="218" t="s">
        <v>424</v>
      </c>
      <c r="C384" s="219">
        <f t="shared" si="116"/>
        <v>5</v>
      </c>
      <c r="D384" s="219">
        <f t="shared" si="117"/>
        <v>50.4</v>
      </c>
      <c r="E384" s="219">
        <f t="shared" si="119"/>
        <v>252</v>
      </c>
      <c r="F384" s="219" t="str">
        <f t="shared" si="118"/>
        <v/>
      </c>
      <c r="G384" s="220" t="str">
        <f t="shared" si="120"/>
        <v/>
      </c>
      <c r="H384" s="207"/>
    </row>
    <row r="385" spans="2:8" ht="14.4" thickBot="1" x14ac:dyDescent="0.3">
      <c r="B385" s="226" t="s">
        <v>273</v>
      </c>
      <c r="C385" s="227"/>
      <c r="D385" s="227"/>
      <c r="E385" s="227"/>
      <c r="F385" s="227"/>
      <c r="G385" s="148"/>
      <c r="H385" s="207"/>
    </row>
    <row r="386" spans="2:8" ht="13.8" x14ac:dyDescent="0.25">
      <c r="B386" s="207"/>
      <c r="C386" s="207"/>
      <c r="D386" s="207"/>
      <c r="E386" s="207"/>
      <c r="F386" s="207"/>
      <c r="G386" s="207"/>
      <c r="H386" s="207"/>
    </row>
    <row r="387" spans="2:8" ht="14.4" thickBot="1" x14ac:dyDescent="0.3">
      <c r="B387" s="207" t="s">
        <v>176</v>
      </c>
      <c r="C387" s="207"/>
      <c r="D387" s="207"/>
      <c r="E387" s="207"/>
      <c r="F387" s="207"/>
      <c r="G387" s="207"/>
      <c r="H387" s="207"/>
    </row>
    <row r="388" spans="2:8" ht="69.599999999999994" thickBot="1" x14ac:dyDescent="0.3">
      <c r="B388" s="224" t="s">
        <v>21</v>
      </c>
      <c r="C388" s="208" t="s">
        <v>643</v>
      </c>
      <c r="D388" s="209" t="s">
        <v>644</v>
      </c>
      <c r="E388" s="210" t="s">
        <v>162</v>
      </c>
      <c r="F388" s="210" t="s">
        <v>163</v>
      </c>
      <c r="G388" s="211" t="s">
        <v>645</v>
      </c>
      <c r="H388" s="207"/>
    </row>
    <row r="389" spans="2:8" ht="13.8" x14ac:dyDescent="0.25">
      <c r="B389" s="212" t="s">
        <v>415</v>
      </c>
      <c r="C389" s="213">
        <f t="shared" ref="C389:C396" si="121">VLOOKUP(B389,Agriculture,2,FALSE)</f>
        <v>5</v>
      </c>
      <c r="D389" s="213">
        <f t="shared" ref="D389:D396" si="122">VLOOKUP(B389,fuelInfo,4,FALSE)</f>
        <v>38.700000000000003</v>
      </c>
      <c r="E389" s="213">
        <f>C389*D389</f>
        <v>193.5</v>
      </c>
      <c r="F389" s="216" t="str">
        <f t="shared" ref="F389:F396" si="123">IF(VLOOKUP(B389,Density_Config,2,FALSE)=0,"", VLOOKUP(B389,Density_Config,2,FALSE))</f>
        <v/>
      </c>
      <c r="G389" s="214" t="str">
        <f>IFERROR((E389/1000000000)*F389,"")</f>
        <v/>
      </c>
      <c r="H389" s="207"/>
    </row>
    <row r="390" spans="2:8" ht="13.8" x14ac:dyDescent="0.25">
      <c r="B390" s="215" t="s">
        <v>416</v>
      </c>
      <c r="C390" s="216">
        <f t="shared" si="121"/>
        <v>5</v>
      </c>
      <c r="D390" s="216">
        <f t="shared" si="122"/>
        <v>38.700000000000003</v>
      </c>
      <c r="E390" s="216">
        <f t="shared" ref="E390:E396" si="124">C390*D390</f>
        <v>193.5</v>
      </c>
      <c r="F390" s="216" t="str">
        <f t="shared" si="123"/>
        <v/>
      </c>
      <c r="G390" s="217" t="str">
        <f t="shared" ref="G390:G396" si="125">IFERROR((E390/1000000000)*F390,"")</f>
        <v/>
      </c>
      <c r="H390" s="207"/>
    </row>
    <row r="391" spans="2:8" ht="13.8" x14ac:dyDescent="0.25">
      <c r="B391" s="215" t="s">
        <v>417</v>
      </c>
      <c r="C391" s="216">
        <f t="shared" si="121"/>
        <v>5</v>
      </c>
      <c r="D391" s="216">
        <f t="shared" si="122"/>
        <v>2.4700000000000002</v>
      </c>
      <c r="E391" s="216">
        <f t="shared" si="124"/>
        <v>12.350000000000001</v>
      </c>
      <c r="F391" s="216" t="str">
        <f t="shared" si="123"/>
        <v/>
      </c>
      <c r="G391" s="217" t="str">
        <f t="shared" si="125"/>
        <v/>
      </c>
      <c r="H391" s="207"/>
    </row>
    <row r="392" spans="2:8" ht="13.8" x14ac:dyDescent="0.25">
      <c r="B392" s="215" t="s">
        <v>418</v>
      </c>
      <c r="C392" s="216">
        <f t="shared" si="121"/>
        <v>5</v>
      </c>
      <c r="D392" s="216">
        <f t="shared" si="122"/>
        <v>7.06</v>
      </c>
      <c r="E392" s="216">
        <f t="shared" si="124"/>
        <v>35.299999999999997</v>
      </c>
      <c r="F392" s="216" t="str">
        <f t="shared" si="123"/>
        <v/>
      </c>
      <c r="G392" s="217" t="str">
        <f t="shared" si="125"/>
        <v/>
      </c>
      <c r="H392" s="207"/>
    </row>
    <row r="393" spans="2:8" ht="13.8" x14ac:dyDescent="0.25">
      <c r="B393" s="215" t="s">
        <v>393</v>
      </c>
      <c r="C393" s="216">
        <f t="shared" si="121"/>
        <v>5</v>
      </c>
      <c r="D393" s="216">
        <f t="shared" si="122"/>
        <v>48</v>
      </c>
      <c r="E393" s="216">
        <f t="shared" si="124"/>
        <v>240</v>
      </c>
      <c r="F393" s="216">
        <f t="shared" si="123"/>
        <v>0.7</v>
      </c>
      <c r="G393" s="217">
        <f t="shared" si="125"/>
        <v>1.6799999999999997E-7</v>
      </c>
      <c r="H393" s="207"/>
    </row>
    <row r="394" spans="2:8" ht="13.8" x14ac:dyDescent="0.25">
      <c r="B394" s="215" t="s">
        <v>395</v>
      </c>
      <c r="C394" s="216">
        <f t="shared" si="121"/>
        <v>5</v>
      </c>
      <c r="D394" s="216">
        <f t="shared" si="122"/>
        <v>50.4</v>
      </c>
      <c r="E394" s="216">
        <f t="shared" si="124"/>
        <v>252</v>
      </c>
      <c r="F394" s="216" t="str">
        <f t="shared" si="123"/>
        <v/>
      </c>
      <c r="G394" s="217" t="str">
        <f t="shared" si="125"/>
        <v/>
      </c>
      <c r="H394" s="207"/>
    </row>
    <row r="395" spans="2:8" ht="13.8" x14ac:dyDescent="0.25">
      <c r="B395" s="215" t="s">
        <v>423</v>
      </c>
      <c r="C395" s="216">
        <f t="shared" si="121"/>
        <v>5</v>
      </c>
      <c r="D395" s="216">
        <f t="shared" si="122"/>
        <v>50.4</v>
      </c>
      <c r="E395" s="216">
        <f t="shared" si="124"/>
        <v>252</v>
      </c>
      <c r="F395" s="216" t="str">
        <f t="shared" si="123"/>
        <v/>
      </c>
      <c r="G395" s="217" t="str">
        <f t="shared" si="125"/>
        <v/>
      </c>
      <c r="H395" s="207"/>
    </row>
    <row r="396" spans="2:8" ht="14.4" thickBot="1" x14ac:dyDescent="0.3">
      <c r="B396" s="218" t="s">
        <v>424</v>
      </c>
      <c r="C396" s="219">
        <f t="shared" si="121"/>
        <v>5</v>
      </c>
      <c r="D396" s="219">
        <f t="shared" si="122"/>
        <v>50.4</v>
      </c>
      <c r="E396" s="219">
        <f t="shared" si="124"/>
        <v>252</v>
      </c>
      <c r="F396" s="219" t="str">
        <f t="shared" si="123"/>
        <v/>
      </c>
      <c r="G396" s="220" t="str">
        <f t="shared" si="125"/>
        <v/>
      </c>
      <c r="H396" s="207"/>
    </row>
    <row r="397" spans="2:8" ht="14.4" thickBot="1" x14ac:dyDescent="0.3">
      <c r="B397" s="226" t="s">
        <v>274</v>
      </c>
      <c r="C397" s="227"/>
      <c r="D397" s="227"/>
      <c r="E397" s="227"/>
      <c r="F397" s="227"/>
      <c r="G397" s="148"/>
      <c r="H397" s="207"/>
    </row>
    <row r="398" spans="2:8" ht="13.8" x14ac:dyDescent="0.25">
      <c r="B398" s="207"/>
      <c r="C398" s="207"/>
      <c r="D398" s="207"/>
      <c r="E398" s="207"/>
      <c r="F398" s="207"/>
      <c r="G398" s="207"/>
      <c r="H398" s="207"/>
    </row>
    <row r="399" spans="2:8" ht="14.4" thickBot="1" x14ac:dyDescent="0.3">
      <c r="B399" s="207" t="s">
        <v>177</v>
      </c>
      <c r="C399" s="207"/>
      <c r="D399" s="207"/>
      <c r="E399" s="207"/>
      <c r="F399" s="207"/>
      <c r="G399" s="207"/>
      <c r="H399" s="207"/>
    </row>
    <row r="400" spans="2:8" ht="69.599999999999994" thickBot="1" x14ac:dyDescent="0.3">
      <c r="B400" s="224" t="s">
        <v>21</v>
      </c>
      <c r="C400" s="208" t="s">
        <v>643</v>
      </c>
      <c r="D400" s="209" t="s">
        <v>644</v>
      </c>
      <c r="E400" s="210" t="s">
        <v>162</v>
      </c>
      <c r="F400" s="210" t="s">
        <v>163</v>
      </c>
      <c r="G400" s="211" t="s">
        <v>645</v>
      </c>
      <c r="H400" s="207"/>
    </row>
    <row r="401" spans="2:8" ht="13.8" x14ac:dyDescent="0.25">
      <c r="B401" s="212" t="s">
        <v>415</v>
      </c>
      <c r="C401" s="213">
        <f t="shared" ref="C401:C408" si="126">VLOOKUP(B401,Forestry,2,FALSE)</f>
        <v>5</v>
      </c>
      <c r="D401" s="213">
        <f t="shared" ref="D401:D408" si="127">VLOOKUP(B401,fuelInfo,4,FALSE)</f>
        <v>38.700000000000003</v>
      </c>
      <c r="E401" s="213">
        <f>C401*D401</f>
        <v>193.5</v>
      </c>
      <c r="F401" s="216" t="str">
        <f t="shared" ref="F401:F408" si="128">IF(VLOOKUP(B401,Density_Config,2,FALSE)=0,"", VLOOKUP(B401,Density_Config,2,FALSE))</f>
        <v/>
      </c>
      <c r="G401" s="214" t="str">
        <f>IFERROR((E401/1000000000)*F401,"")</f>
        <v/>
      </c>
      <c r="H401" s="207"/>
    </row>
    <row r="402" spans="2:8" ht="13.8" x14ac:dyDescent="0.25">
      <c r="B402" s="215" t="s">
        <v>416</v>
      </c>
      <c r="C402" s="216">
        <f t="shared" si="126"/>
        <v>5</v>
      </c>
      <c r="D402" s="216">
        <f t="shared" si="127"/>
        <v>38.700000000000003</v>
      </c>
      <c r="E402" s="216">
        <f t="shared" ref="E402:E408" si="129">C402*D402</f>
        <v>193.5</v>
      </c>
      <c r="F402" s="216" t="str">
        <f t="shared" si="128"/>
        <v/>
      </c>
      <c r="G402" s="217" t="str">
        <f t="shared" ref="G402:G408" si="130">IFERROR((E402/1000000000)*F402,"")</f>
        <v/>
      </c>
      <c r="H402" s="207"/>
    </row>
    <row r="403" spans="2:8" ht="13.8" x14ac:dyDescent="0.25">
      <c r="B403" s="215" t="s">
        <v>417</v>
      </c>
      <c r="C403" s="216">
        <f t="shared" si="126"/>
        <v>5</v>
      </c>
      <c r="D403" s="216">
        <f t="shared" si="127"/>
        <v>2.4700000000000002</v>
      </c>
      <c r="E403" s="216">
        <f t="shared" si="129"/>
        <v>12.350000000000001</v>
      </c>
      <c r="F403" s="216" t="str">
        <f t="shared" si="128"/>
        <v/>
      </c>
      <c r="G403" s="217" t="str">
        <f t="shared" si="130"/>
        <v/>
      </c>
      <c r="H403" s="207"/>
    </row>
    <row r="404" spans="2:8" ht="13.8" x14ac:dyDescent="0.25">
      <c r="B404" s="215" t="s">
        <v>418</v>
      </c>
      <c r="C404" s="216">
        <f t="shared" si="126"/>
        <v>5</v>
      </c>
      <c r="D404" s="216">
        <f t="shared" si="127"/>
        <v>7.06</v>
      </c>
      <c r="E404" s="216">
        <f t="shared" si="129"/>
        <v>35.299999999999997</v>
      </c>
      <c r="F404" s="216" t="str">
        <f t="shared" si="128"/>
        <v/>
      </c>
      <c r="G404" s="217" t="str">
        <f t="shared" si="130"/>
        <v/>
      </c>
      <c r="H404" s="207"/>
    </row>
    <row r="405" spans="2:8" ht="13.8" x14ac:dyDescent="0.25">
      <c r="B405" s="215" t="s">
        <v>393</v>
      </c>
      <c r="C405" s="216">
        <f t="shared" si="126"/>
        <v>5</v>
      </c>
      <c r="D405" s="216">
        <f t="shared" si="127"/>
        <v>48</v>
      </c>
      <c r="E405" s="216">
        <f t="shared" si="129"/>
        <v>240</v>
      </c>
      <c r="F405" s="216">
        <f t="shared" si="128"/>
        <v>0.7</v>
      </c>
      <c r="G405" s="217">
        <f t="shared" si="130"/>
        <v>1.6799999999999997E-7</v>
      </c>
      <c r="H405" s="207"/>
    </row>
    <row r="406" spans="2:8" ht="13.8" x14ac:dyDescent="0.25">
      <c r="B406" s="215" t="s">
        <v>395</v>
      </c>
      <c r="C406" s="216">
        <f t="shared" si="126"/>
        <v>5</v>
      </c>
      <c r="D406" s="216">
        <f t="shared" si="127"/>
        <v>50.4</v>
      </c>
      <c r="E406" s="216">
        <f t="shared" si="129"/>
        <v>252</v>
      </c>
      <c r="F406" s="216" t="str">
        <f t="shared" si="128"/>
        <v/>
      </c>
      <c r="G406" s="217" t="str">
        <f t="shared" si="130"/>
        <v/>
      </c>
      <c r="H406" s="207"/>
    </row>
    <row r="407" spans="2:8" ht="13.8" x14ac:dyDescent="0.25">
      <c r="B407" s="215" t="s">
        <v>423</v>
      </c>
      <c r="C407" s="216">
        <f t="shared" si="126"/>
        <v>5</v>
      </c>
      <c r="D407" s="216">
        <f t="shared" si="127"/>
        <v>50.4</v>
      </c>
      <c r="E407" s="216">
        <f t="shared" si="129"/>
        <v>252</v>
      </c>
      <c r="F407" s="216" t="str">
        <f t="shared" si="128"/>
        <v/>
      </c>
      <c r="G407" s="217" t="str">
        <f t="shared" si="130"/>
        <v/>
      </c>
      <c r="H407" s="207"/>
    </row>
    <row r="408" spans="2:8" ht="14.4" thickBot="1" x14ac:dyDescent="0.3">
      <c r="B408" s="218" t="s">
        <v>424</v>
      </c>
      <c r="C408" s="219">
        <f t="shared" si="126"/>
        <v>5</v>
      </c>
      <c r="D408" s="219">
        <f t="shared" si="127"/>
        <v>50.4</v>
      </c>
      <c r="E408" s="219">
        <f t="shared" si="129"/>
        <v>252</v>
      </c>
      <c r="F408" s="219" t="str">
        <f t="shared" si="128"/>
        <v/>
      </c>
      <c r="G408" s="220" t="str">
        <f t="shared" si="130"/>
        <v/>
      </c>
      <c r="H408" s="207"/>
    </row>
    <row r="409" spans="2:8" ht="14.4" thickBot="1" x14ac:dyDescent="0.3">
      <c r="B409" s="226" t="s">
        <v>275</v>
      </c>
      <c r="C409" s="227"/>
      <c r="D409" s="227"/>
      <c r="E409" s="227"/>
      <c r="F409" s="227"/>
      <c r="G409" s="148"/>
      <c r="H409" s="207"/>
    </row>
    <row r="410" spans="2:8" ht="13.8" x14ac:dyDescent="0.25">
      <c r="B410" s="207"/>
      <c r="C410" s="207"/>
      <c r="D410" s="207"/>
      <c r="E410" s="207"/>
      <c r="F410" s="207"/>
      <c r="G410" s="207"/>
      <c r="H410" s="207"/>
    </row>
    <row r="411" spans="2:8" ht="14.4" thickBot="1" x14ac:dyDescent="0.3">
      <c r="B411" s="207" t="s">
        <v>178</v>
      </c>
      <c r="C411" s="207"/>
      <c r="D411" s="207"/>
      <c r="E411" s="207"/>
      <c r="F411" s="207"/>
      <c r="G411" s="207"/>
      <c r="H411" s="207"/>
    </row>
    <row r="412" spans="2:8" ht="69.599999999999994" thickBot="1" x14ac:dyDescent="0.3">
      <c r="B412" s="224" t="s">
        <v>21</v>
      </c>
      <c r="C412" s="208" t="s">
        <v>643</v>
      </c>
      <c r="D412" s="209" t="s">
        <v>644</v>
      </c>
      <c r="E412" s="210" t="s">
        <v>162</v>
      </c>
      <c r="F412" s="210" t="s">
        <v>163</v>
      </c>
      <c r="G412" s="211" t="s">
        <v>645</v>
      </c>
      <c r="H412" s="207"/>
    </row>
    <row r="413" spans="2:8" ht="13.8" x14ac:dyDescent="0.25">
      <c r="B413" s="215" t="s">
        <v>415</v>
      </c>
      <c r="C413" s="216">
        <f t="shared" ref="C413:C420" si="131">VLOOKUP(B413,Fisheries,2,FALSE)</f>
        <v>5</v>
      </c>
      <c r="D413" s="216">
        <f t="shared" ref="D413:D420" si="132">VLOOKUP(B413,fuelInfo,4,FALSE)</f>
        <v>38.700000000000003</v>
      </c>
      <c r="E413" s="216">
        <f>C413*D413</f>
        <v>193.5</v>
      </c>
      <c r="F413" s="216" t="str">
        <f t="shared" ref="F413:F420" si="133">IF(VLOOKUP(B413,Density_Config,2,FALSE)=0,"", VLOOKUP(B413,Density_Config,2,FALSE))</f>
        <v/>
      </c>
      <c r="G413" s="217" t="str">
        <f>IFERROR((E413/1000000000)*F413,"")</f>
        <v/>
      </c>
      <c r="H413" s="207"/>
    </row>
    <row r="414" spans="2:8" ht="13.8" x14ac:dyDescent="0.25">
      <c r="B414" s="215" t="s">
        <v>416</v>
      </c>
      <c r="C414" s="216">
        <f t="shared" si="131"/>
        <v>5</v>
      </c>
      <c r="D414" s="216">
        <f t="shared" si="132"/>
        <v>38.700000000000003</v>
      </c>
      <c r="E414" s="216">
        <f t="shared" ref="E414:E420" si="134">C414*D414</f>
        <v>193.5</v>
      </c>
      <c r="F414" s="216" t="str">
        <f t="shared" si="133"/>
        <v/>
      </c>
      <c r="G414" s="217" t="str">
        <f t="shared" ref="G414:G420" si="135">IFERROR((E414/1000000000)*F414,"")</f>
        <v/>
      </c>
      <c r="H414" s="207"/>
    </row>
    <row r="415" spans="2:8" ht="13.8" x14ac:dyDescent="0.25">
      <c r="B415" s="215" t="s">
        <v>417</v>
      </c>
      <c r="C415" s="216">
        <f t="shared" si="131"/>
        <v>5</v>
      </c>
      <c r="D415" s="216">
        <f t="shared" si="132"/>
        <v>2.4700000000000002</v>
      </c>
      <c r="E415" s="216">
        <f t="shared" si="134"/>
        <v>12.350000000000001</v>
      </c>
      <c r="F415" s="216" t="str">
        <f t="shared" si="133"/>
        <v/>
      </c>
      <c r="G415" s="217" t="str">
        <f t="shared" si="135"/>
        <v/>
      </c>
      <c r="H415" s="207"/>
    </row>
    <row r="416" spans="2:8" ht="13.8" x14ac:dyDescent="0.25">
      <c r="B416" s="215" t="s">
        <v>418</v>
      </c>
      <c r="C416" s="216">
        <f t="shared" si="131"/>
        <v>5</v>
      </c>
      <c r="D416" s="216">
        <f t="shared" si="132"/>
        <v>7.06</v>
      </c>
      <c r="E416" s="216">
        <f t="shared" si="134"/>
        <v>35.299999999999997</v>
      </c>
      <c r="F416" s="216" t="str">
        <f t="shared" si="133"/>
        <v/>
      </c>
      <c r="G416" s="217" t="str">
        <f t="shared" si="135"/>
        <v/>
      </c>
      <c r="H416" s="207"/>
    </row>
    <row r="417" spans="2:8" ht="13.8" x14ac:dyDescent="0.25">
      <c r="B417" s="215" t="s">
        <v>393</v>
      </c>
      <c r="C417" s="216">
        <f t="shared" si="131"/>
        <v>5</v>
      </c>
      <c r="D417" s="216">
        <f t="shared" si="132"/>
        <v>48</v>
      </c>
      <c r="E417" s="216">
        <f t="shared" si="134"/>
        <v>240</v>
      </c>
      <c r="F417" s="216">
        <f t="shared" si="133"/>
        <v>0.7</v>
      </c>
      <c r="G417" s="217">
        <f t="shared" si="135"/>
        <v>1.6799999999999997E-7</v>
      </c>
      <c r="H417" s="207"/>
    </row>
    <row r="418" spans="2:8" ht="13.8" x14ac:dyDescent="0.25">
      <c r="B418" s="215" t="s">
        <v>395</v>
      </c>
      <c r="C418" s="216">
        <f t="shared" si="131"/>
        <v>5</v>
      </c>
      <c r="D418" s="216">
        <f t="shared" si="132"/>
        <v>50.4</v>
      </c>
      <c r="E418" s="216">
        <f t="shared" si="134"/>
        <v>252</v>
      </c>
      <c r="F418" s="216" t="str">
        <f t="shared" si="133"/>
        <v/>
      </c>
      <c r="G418" s="217" t="str">
        <f t="shared" si="135"/>
        <v/>
      </c>
      <c r="H418" s="207"/>
    </row>
    <row r="419" spans="2:8" ht="13.8" x14ac:dyDescent="0.25">
      <c r="B419" s="215" t="s">
        <v>423</v>
      </c>
      <c r="C419" s="216">
        <f t="shared" si="131"/>
        <v>5</v>
      </c>
      <c r="D419" s="216">
        <f t="shared" si="132"/>
        <v>50.4</v>
      </c>
      <c r="E419" s="216">
        <f t="shared" si="134"/>
        <v>252</v>
      </c>
      <c r="F419" s="216" t="str">
        <f t="shared" si="133"/>
        <v/>
      </c>
      <c r="G419" s="217" t="str">
        <f t="shared" si="135"/>
        <v/>
      </c>
      <c r="H419" s="207"/>
    </row>
    <row r="420" spans="2:8" ht="14.4" thickBot="1" x14ac:dyDescent="0.3">
      <c r="B420" s="218" t="s">
        <v>424</v>
      </c>
      <c r="C420" s="219">
        <f t="shared" si="131"/>
        <v>5</v>
      </c>
      <c r="D420" s="219">
        <f t="shared" si="132"/>
        <v>50.4</v>
      </c>
      <c r="E420" s="219">
        <f t="shared" si="134"/>
        <v>252</v>
      </c>
      <c r="F420" s="219" t="str">
        <f t="shared" si="133"/>
        <v/>
      </c>
      <c r="G420" s="220" t="str">
        <f t="shared" si="135"/>
        <v/>
      </c>
      <c r="H420" s="207"/>
    </row>
    <row r="421" spans="2:8" ht="14.4" thickBot="1" x14ac:dyDescent="0.3">
      <c r="B421" s="221" t="s">
        <v>277</v>
      </c>
      <c r="C421" s="222"/>
      <c r="D421" s="222"/>
      <c r="E421" s="222"/>
      <c r="F421" s="222"/>
      <c r="G421" s="223"/>
      <c r="H421" s="207"/>
    </row>
    <row r="422" spans="2:8" ht="13.8" x14ac:dyDescent="0.25">
      <c r="B422" s="207"/>
      <c r="C422" s="207"/>
      <c r="D422" s="207"/>
      <c r="E422" s="207"/>
      <c r="F422" s="207"/>
      <c r="G422" s="207"/>
      <c r="H422" s="207"/>
    </row>
    <row r="423" spans="2:8" ht="14.4" thickBot="1" x14ac:dyDescent="0.3">
      <c r="B423" s="207"/>
      <c r="C423" s="207"/>
      <c r="D423" s="207"/>
      <c r="E423" s="207"/>
      <c r="F423" s="207"/>
      <c r="G423" s="207"/>
      <c r="H423" s="207"/>
    </row>
    <row r="424" spans="2:8" ht="14.4" thickBot="1" x14ac:dyDescent="0.3">
      <c r="B424" s="225" t="s">
        <v>157</v>
      </c>
      <c r="C424" s="230" t="s">
        <v>194</v>
      </c>
      <c r="D424" s="231" t="s">
        <v>195</v>
      </c>
      <c r="E424" s="207"/>
      <c r="F424" s="207"/>
      <c r="G424" s="207"/>
      <c r="H424" s="207"/>
    </row>
    <row r="425" spans="2:8" ht="13.8" x14ac:dyDescent="0.25">
      <c r="B425" s="233" t="s">
        <v>43</v>
      </c>
      <c r="C425" s="232" t="s">
        <v>676</v>
      </c>
      <c r="D425" s="147" t="s">
        <v>646</v>
      </c>
      <c r="E425" s="207"/>
      <c r="F425" s="207"/>
      <c r="G425" s="207"/>
      <c r="H425" s="207"/>
    </row>
    <row r="426" spans="2:8" ht="13.8" x14ac:dyDescent="0.25">
      <c r="B426" s="234" t="s">
        <v>125</v>
      </c>
      <c r="C426" s="235" t="s">
        <v>677</v>
      </c>
      <c r="D426" s="236" t="s">
        <v>647</v>
      </c>
      <c r="E426" s="207"/>
      <c r="F426" s="207"/>
      <c r="G426" s="207"/>
      <c r="H426" s="207"/>
    </row>
    <row r="427" spans="2:8" ht="13.8" x14ac:dyDescent="0.25">
      <c r="B427" s="234" t="s">
        <v>134</v>
      </c>
      <c r="C427" s="235" t="s">
        <v>678</v>
      </c>
      <c r="D427" s="236" t="s">
        <v>648</v>
      </c>
      <c r="E427" s="207"/>
      <c r="F427" s="207"/>
      <c r="G427" s="207"/>
      <c r="H427" s="207"/>
    </row>
    <row r="428" spans="2:8" ht="13.8" x14ac:dyDescent="0.25">
      <c r="B428" s="234" t="s">
        <v>126</v>
      </c>
      <c r="C428" s="235" t="s">
        <v>679</v>
      </c>
      <c r="D428" s="236" t="s">
        <v>649</v>
      </c>
      <c r="E428" s="207"/>
      <c r="F428" s="207"/>
      <c r="G428" s="207"/>
      <c r="H428" s="207"/>
    </row>
    <row r="429" spans="2:8" ht="13.8" x14ac:dyDescent="0.25">
      <c r="B429" s="234" t="s">
        <v>127</v>
      </c>
      <c r="C429" s="235" t="s">
        <v>680</v>
      </c>
      <c r="D429" s="236" t="s">
        <v>650</v>
      </c>
      <c r="E429" s="207"/>
      <c r="F429" s="207"/>
      <c r="G429" s="207"/>
      <c r="H429" s="207"/>
    </row>
    <row r="430" spans="2:8" ht="13.8" x14ac:dyDescent="0.25">
      <c r="B430" s="234" t="s">
        <v>128</v>
      </c>
      <c r="C430" s="235" t="s">
        <v>681</v>
      </c>
      <c r="D430" s="236" t="s">
        <v>651</v>
      </c>
      <c r="E430" s="207"/>
      <c r="F430" s="207"/>
      <c r="G430" s="207"/>
      <c r="H430" s="207"/>
    </row>
    <row r="431" spans="2:8" ht="13.8" x14ac:dyDescent="0.25">
      <c r="B431" s="234" t="s">
        <v>129</v>
      </c>
      <c r="C431" s="235" t="s">
        <v>682</v>
      </c>
      <c r="D431" s="236" t="s">
        <v>652</v>
      </c>
      <c r="E431" s="207"/>
      <c r="F431" s="207"/>
      <c r="G431" s="207"/>
      <c r="H431" s="207"/>
    </row>
    <row r="432" spans="2:8" ht="13.8" x14ac:dyDescent="0.25">
      <c r="B432" s="234" t="s">
        <v>130</v>
      </c>
      <c r="C432" s="235" t="s">
        <v>683</v>
      </c>
      <c r="D432" s="236" t="s">
        <v>653</v>
      </c>
      <c r="E432" s="207"/>
      <c r="F432" s="207"/>
      <c r="G432" s="207"/>
      <c r="H432" s="207"/>
    </row>
    <row r="433" spans="2:8" ht="14.4" thickBot="1" x14ac:dyDescent="0.3">
      <c r="B433" s="226" t="s">
        <v>131</v>
      </c>
      <c r="C433" s="237" t="s">
        <v>684</v>
      </c>
      <c r="D433" s="148" t="s">
        <v>654</v>
      </c>
      <c r="E433" s="207"/>
      <c r="F433" s="207"/>
      <c r="G433" s="207"/>
      <c r="H433" s="207"/>
    </row>
    <row r="434" spans="2:8" ht="14.4" thickBot="1" x14ac:dyDescent="0.3">
      <c r="B434" s="226" t="s">
        <v>292</v>
      </c>
      <c r="C434" s="227"/>
      <c r="D434" s="148"/>
      <c r="E434" s="207"/>
      <c r="F434" s="207"/>
      <c r="G434" s="207"/>
      <c r="H434" s="207"/>
    </row>
    <row r="435" spans="2:8" ht="13.8" x14ac:dyDescent="0.25">
      <c r="B435" s="207"/>
      <c r="C435" s="207"/>
      <c r="D435" s="207"/>
      <c r="E435" s="207"/>
      <c r="F435" s="207"/>
      <c r="G435" s="207"/>
      <c r="H435" s="207"/>
    </row>
    <row r="436" spans="2:8" ht="13.8" x14ac:dyDescent="0.25">
      <c r="B436" s="207"/>
      <c r="C436" s="207"/>
      <c r="D436" s="207"/>
      <c r="E436" s="207"/>
      <c r="F436" s="207"/>
      <c r="G436" s="207"/>
      <c r="H436" s="207"/>
    </row>
    <row r="437" spans="2:8" ht="14.4" thickBot="1" x14ac:dyDescent="0.3">
      <c r="B437" s="207"/>
      <c r="C437" s="207"/>
      <c r="D437" s="207"/>
      <c r="E437" s="207"/>
      <c r="F437" s="207"/>
      <c r="G437" s="207"/>
      <c r="H437" s="207"/>
    </row>
    <row r="438" spans="2:8" ht="14.4" thickBot="1" x14ac:dyDescent="0.3">
      <c r="B438" s="238" t="s">
        <v>157</v>
      </c>
      <c r="C438" s="239" t="s">
        <v>288</v>
      </c>
      <c r="D438" s="207"/>
      <c r="E438" s="207"/>
      <c r="F438" s="207"/>
      <c r="G438" s="207"/>
      <c r="H438" s="207"/>
    </row>
    <row r="439" spans="2:8" ht="13.8" x14ac:dyDescent="0.25">
      <c r="B439" s="232" t="s">
        <v>43</v>
      </c>
      <c r="C439" s="147" t="s">
        <v>279</v>
      </c>
      <c r="D439" s="207"/>
      <c r="E439" s="207"/>
      <c r="F439" s="207"/>
      <c r="G439" s="207"/>
      <c r="H439" s="207"/>
    </row>
    <row r="440" spans="2:8" ht="13.8" x14ac:dyDescent="0.25">
      <c r="B440" s="235" t="s">
        <v>125</v>
      </c>
      <c r="C440" s="236" t="s">
        <v>280</v>
      </c>
      <c r="D440" s="207"/>
      <c r="E440" s="207"/>
      <c r="F440" s="207"/>
      <c r="G440" s="207"/>
      <c r="H440" s="207"/>
    </row>
    <row r="441" spans="2:8" ht="13.8" x14ac:dyDescent="0.25">
      <c r="B441" s="235" t="s">
        <v>134</v>
      </c>
      <c r="C441" s="236" t="s">
        <v>281</v>
      </c>
      <c r="D441" s="207"/>
      <c r="E441" s="207"/>
      <c r="F441" s="207"/>
      <c r="G441" s="207"/>
      <c r="H441" s="207"/>
    </row>
    <row r="442" spans="2:8" ht="13.8" x14ac:dyDescent="0.25">
      <c r="B442" s="235" t="s">
        <v>126</v>
      </c>
      <c r="C442" s="236" t="s">
        <v>282</v>
      </c>
      <c r="D442" s="207"/>
      <c r="E442" s="207"/>
      <c r="F442" s="207"/>
      <c r="G442" s="207"/>
      <c r="H442" s="207"/>
    </row>
    <row r="443" spans="2:8" ht="13.8" x14ac:dyDescent="0.25">
      <c r="B443" s="235" t="s">
        <v>127</v>
      </c>
      <c r="C443" s="236" t="s">
        <v>283</v>
      </c>
      <c r="D443" s="207"/>
      <c r="E443" s="207"/>
      <c r="F443" s="207"/>
      <c r="G443" s="207"/>
      <c r="H443" s="207"/>
    </row>
    <row r="444" spans="2:8" ht="13.8" x14ac:dyDescent="0.25">
      <c r="B444" s="235" t="s">
        <v>128</v>
      </c>
      <c r="C444" s="236" t="s">
        <v>284</v>
      </c>
      <c r="D444" s="207"/>
      <c r="E444" s="207"/>
      <c r="F444" s="207"/>
      <c r="G444" s="207"/>
      <c r="H444" s="207"/>
    </row>
    <row r="445" spans="2:8" ht="13.8" x14ac:dyDescent="0.25">
      <c r="B445" s="235" t="s">
        <v>129</v>
      </c>
      <c r="C445" s="236" t="s">
        <v>285</v>
      </c>
      <c r="D445" s="207"/>
      <c r="E445" s="207"/>
      <c r="F445" s="207"/>
      <c r="G445" s="207"/>
      <c r="H445" s="207"/>
    </row>
    <row r="446" spans="2:8" ht="13.8" x14ac:dyDescent="0.25">
      <c r="B446" s="235" t="s">
        <v>130</v>
      </c>
      <c r="C446" s="236" t="s">
        <v>286</v>
      </c>
      <c r="D446" s="207"/>
      <c r="E446" s="207"/>
      <c r="F446" s="207"/>
      <c r="G446" s="207"/>
      <c r="H446" s="207"/>
    </row>
    <row r="447" spans="2:8" ht="14.4" thickBot="1" x14ac:dyDescent="0.3">
      <c r="B447" s="235" t="s">
        <v>131</v>
      </c>
      <c r="C447" s="148" t="s">
        <v>287</v>
      </c>
      <c r="D447" s="207"/>
      <c r="E447" s="207"/>
      <c r="F447" s="207"/>
      <c r="G447" s="207"/>
      <c r="H447" s="207"/>
    </row>
    <row r="448" spans="2:8" ht="14.4" thickBot="1" x14ac:dyDescent="0.3">
      <c r="B448" s="387" t="s">
        <v>289</v>
      </c>
      <c r="C448" s="207"/>
      <c r="D448" s="207"/>
      <c r="E448" s="207"/>
      <c r="F448" s="207"/>
      <c r="G448" s="207"/>
      <c r="H448" s="207"/>
    </row>
  </sheetData>
  <mergeCells count="12">
    <mergeCell ref="B313:G313"/>
    <mergeCell ref="B67:G67"/>
    <mergeCell ref="C5:S5"/>
    <mergeCell ref="B6:C6"/>
    <mergeCell ref="D6:E6"/>
    <mergeCell ref="F6:G6"/>
    <mergeCell ref="H6:I6"/>
    <mergeCell ref="J6:K6"/>
    <mergeCell ref="L6:M6"/>
    <mergeCell ref="N6:O6"/>
    <mergeCell ref="P6:Q6"/>
    <mergeCell ref="R6:S6"/>
  </mergeCells>
  <phoneticPr fontId="3" type="noConversion"/>
  <pageMargins left="0.75" right="0.75" top="1" bottom="1" header="0.5" footer="0.5"/>
  <pageSetup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59999389629810485"/>
  </sheetPr>
  <dimension ref="C1:AZ40"/>
  <sheetViews>
    <sheetView workbookViewId="0">
      <selection activeCell="J10" sqref="J10"/>
    </sheetView>
  </sheetViews>
  <sheetFormatPr defaultRowHeight="13.2" x14ac:dyDescent="0.25"/>
  <cols>
    <col min="3" max="3" width="8.33203125" customWidth="1"/>
    <col min="4" max="4" width="24.5546875" customWidth="1"/>
    <col min="5" max="5" width="18.33203125" bestFit="1" customWidth="1"/>
    <col min="6" max="6" width="16.5546875" customWidth="1"/>
    <col min="7" max="7" width="16.6640625" customWidth="1"/>
    <col min="8" max="8" width="13" bestFit="1" customWidth="1"/>
    <col min="9" max="9" width="13.88671875" customWidth="1"/>
    <col min="10" max="10" width="14.6640625" customWidth="1"/>
    <col min="11" max="11" width="26.6640625" customWidth="1"/>
    <col min="12" max="12" width="13.109375" customWidth="1"/>
    <col min="13" max="13" width="15.6640625" customWidth="1"/>
    <col min="14" max="14" width="17.5546875" style="135" customWidth="1"/>
    <col min="15" max="15" width="10.109375" bestFit="1" customWidth="1"/>
    <col min="16" max="16" width="11.6640625" customWidth="1"/>
    <col min="17" max="17" width="14" customWidth="1"/>
    <col min="18" max="18" width="14" bestFit="1" customWidth="1"/>
    <col min="19" max="19" width="15.6640625" customWidth="1"/>
    <col min="20" max="20" width="9.44140625" bestFit="1" customWidth="1"/>
    <col min="21" max="21" width="13.88671875" customWidth="1"/>
    <col min="22" max="23" width="10.109375" bestFit="1" customWidth="1"/>
    <col min="24" max="24" width="12.5546875" bestFit="1" customWidth="1"/>
    <col min="25" max="25" width="10.5546875" customWidth="1"/>
    <col min="26" max="26" width="12.5546875" bestFit="1" customWidth="1"/>
    <col min="27" max="27" width="12.44140625" bestFit="1" customWidth="1"/>
    <col min="28" max="28" width="11.33203125" bestFit="1" customWidth="1"/>
    <col min="29" max="29" width="14" bestFit="1" customWidth="1"/>
    <col min="30" max="30" width="11.88671875" bestFit="1" customWidth="1"/>
    <col min="31" max="31" width="12.88671875" customWidth="1"/>
    <col min="32" max="32" width="11.109375" bestFit="1" customWidth="1"/>
    <col min="33" max="33" width="13.6640625" bestFit="1" customWidth="1"/>
    <col min="34" max="34" width="13.88671875" customWidth="1"/>
    <col min="35" max="35" width="13.109375" bestFit="1" customWidth="1"/>
    <col min="36" max="36" width="14" bestFit="1" customWidth="1"/>
    <col min="37" max="38" width="12.88671875" bestFit="1" customWidth="1"/>
    <col min="39" max="39" width="13.109375" bestFit="1" customWidth="1"/>
    <col min="40" max="40" width="14.109375" customWidth="1"/>
    <col min="41" max="41" width="26.109375" customWidth="1"/>
    <col min="42" max="42" width="12" customWidth="1"/>
    <col min="43" max="43" width="10.5546875" bestFit="1" customWidth="1"/>
    <col min="44" max="44" width="10.109375" bestFit="1" customWidth="1"/>
    <col min="45" max="47" width="10.5546875" bestFit="1" customWidth="1"/>
    <col min="48" max="48" width="19.6640625" customWidth="1"/>
    <col min="49" max="49" width="17.6640625" customWidth="1"/>
    <col min="50" max="50" width="14" bestFit="1" customWidth="1"/>
    <col min="51" max="51" width="11.88671875" customWidth="1"/>
  </cols>
  <sheetData>
    <row r="1" spans="3:52" ht="13.8" thickBot="1" x14ac:dyDescent="0.3"/>
    <row r="2" spans="3:52" ht="18.600000000000001" thickBot="1" x14ac:dyDescent="0.45">
      <c r="C2" s="708" t="s">
        <v>686</v>
      </c>
      <c r="D2" s="709"/>
      <c r="E2" s="709"/>
      <c r="F2" s="709"/>
      <c r="G2" s="709"/>
      <c r="H2" s="709"/>
      <c r="I2" s="709"/>
      <c r="J2" s="709"/>
      <c r="K2" s="709"/>
      <c r="L2" s="709"/>
      <c r="M2" s="709"/>
      <c r="N2" s="709"/>
      <c r="O2" s="709"/>
      <c r="P2" s="709"/>
    </row>
    <row r="3" spans="3:52" ht="31.5" customHeight="1" thickBot="1" x14ac:dyDescent="0.3">
      <c r="C3" s="710" t="s">
        <v>245</v>
      </c>
      <c r="D3" s="711"/>
      <c r="E3" s="711"/>
      <c r="F3" s="711"/>
      <c r="G3" s="711"/>
      <c r="H3" s="711"/>
      <c r="I3" s="711"/>
      <c r="J3" s="711"/>
      <c r="K3" s="711"/>
      <c r="L3" s="711"/>
      <c r="M3" s="711"/>
      <c r="N3" s="711"/>
      <c r="O3" s="711"/>
      <c r="P3" s="711"/>
      <c r="R3" s="117"/>
    </row>
    <row r="7" spans="3:52" ht="13.8" thickBot="1" x14ac:dyDescent="0.3">
      <c r="D7" s="29"/>
      <c r="I7" s="500"/>
      <c r="K7" s="136"/>
    </row>
    <row r="8" spans="3:52" ht="21.75" customHeight="1" thickBot="1" x14ac:dyDescent="0.3">
      <c r="C8" s="712" t="s">
        <v>702</v>
      </c>
      <c r="D8" s="713"/>
      <c r="E8" s="713"/>
      <c r="F8" s="713"/>
      <c r="G8" s="713"/>
      <c r="H8" s="714"/>
      <c r="I8" s="718" t="s">
        <v>243</v>
      </c>
      <c r="J8" s="718"/>
      <c r="K8" s="718"/>
      <c r="L8" s="718"/>
      <c r="M8" s="715" t="s">
        <v>706</v>
      </c>
      <c r="N8" s="716"/>
      <c r="O8" s="716"/>
      <c r="P8" s="716"/>
      <c r="Q8" s="716"/>
      <c r="R8" s="717"/>
      <c r="S8" s="723" t="s">
        <v>707</v>
      </c>
      <c r="T8" s="718"/>
      <c r="U8" s="718"/>
      <c r="V8" s="718"/>
      <c r="W8" s="724"/>
      <c r="X8" s="725" t="s">
        <v>708</v>
      </c>
      <c r="Y8" s="726"/>
      <c r="Z8" s="720"/>
      <c r="AA8" s="720"/>
      <c r="AB8" s="720"/>
      <c r="AC8" s="720"/>
      <c r="AD8" s="720"/>
      <c r="AE8" s="720"/>
      <c r="AF8" s="727"/>
      <c r="AG8" s="728" t="s">
        <v>709</v>
      </c>
      <c r="AH8" s="729"/>
      <c r="AI8" s="729"/>
      <c r="AJ8" s="729"/>
      <c r="AK8" s="730"/>
      <c r="AL8" s="730"/>
      <c r="AM8" s="731"/>
      <c r="AN8" s="719" t="s">
        <v>710</v>
      </c>
      <c r="AO8" s="720"/>
      <c r="AP8" s="721"/>
      <c r="AQ8" s="721"/>
      <c r="AR8" s="721"/>
      <c r="AS8" s="721"/>
      <c r="AT8" s="721"/>
      <c r="AU8" s="722"/>
      <c r="AV8" s="705" t="s">
        <v>688</v>
      </c>
      <c r="AW8" s="706"/>
      <c r="AX8" s="706"/>
      <c r="AY8" s="707"/>
    </row>
    <row r="9" spans="3:52" s="134" customFormat="1" ht="93" thickBot="1" x14ac:dyDescent="0.3">
      <c r="C9" s="341" t="s">
        <v>42</v>
      </c>
      <c r="D9" s="342" t="s">
        <v>39</v>
      </c>
      <c r="E9" s="342" t="s">
        <v>700</v>
      </c>
      <c r="F9" s="342" t="s">
        <v>703</v>
      </c>
      <c r="G9" s="342" t="s">
        <v>701</v>
      </c>
      <c r="H9" s="343" t="s">
        <v>158</v>
      </c>
      <c r="I9" s="322" t="s">
        <v>104</v>
      </c>
      <c r="J9" s="322" t="s">
        <v>610</v>
      </c>
      <c r="K9" s="322" t="s">
        <v>736</v>
      </c>
      <c r="L9" s="322" t="s">
        <v>101</v>
      </c>
      <c r="M9" s="315" t="s">
        <v>704</v>
      </c>
      <c r="N9" s="425" t="s">
        <v>737</v>
      </c>
      <c r="O9" s="316" t="s">
        <v>705</v>
      </c>
      <c r="P9" s="316" t="s">
        <v>122</v>
      </c>
      <c r="Q9" s="316" t="s">
        <v>369</v>
      </c>
      <c r="R9" s="317" t="s">
        <v>226</v>
      </c>
      <c r="S9" s="324" t="s">
        <v>106</v>
      </c>
      <c r="T9" s="322" t="s">
        <v>105</v>
      </c>
      <c r="U9" s="322" t="s">
        <v>122</v>
      </c>
      <c r="V9" s="322" t="s">
        <v>369</v>
      </c>
      <c r="W9" s="325" t="s">
        <v>226</v>
      </c>
      <c r="X9" s="319" t="s">
        <v>109</v>
      </c>
      <c r="Y9" s="319" t="s">
        <v>110</v>
      </c>
      <c r="Z9" s="319" t="s">
        <v>113</v>
      </c>
      <c r="AA9" s="319" t="s">
        <v>114</v>
      </c>
      <c r="AB9" s="319" t="s">
        <v>215</v>
      </c>
      <c r="AC9" s="319" t="s">
        <v>507</v>
      </c>
      <c r="AD9" s="319" t="s">
        <v>122</v>
      </c>
      <c r="AE9" s="316" t="s">
        <v>369</v>
      </c>
      <c r="AF9" s="317" t="s">
        <v>226</v>
      </c>
      <c r="AG9" s="321" t="s">
        <v>119</v>
      </c>
      <c r="AH9" s="321" t="s">
        <v>121</v>
      </c>
      <c r="AI9" s="321" t="s">
        <v>120</v>
      </c>
      <c r="AJ9" s="321" t="s">
        <v>115</v>
      </c>
      <c r="AK9" s="321" t="s">
        <v>122</v>
      </c>
      <c r="AL9" s="322" t="s">
        <v>369</v>
      </c>
      <c r="AM9" s="323" t="s">
        <v>226</v>
      </c>
      <c r="AN9" s="318" t="s">
        <v>340</v>
      </c>
      <c r="AO9" s="430" t="s">
        <v>737</v>
      </c>
      <c r="AP9" s="319" t="s">
        <v>341</v>
      </c>
      <c r="AQ9" s="319" t="s">
        <v>342</v>
      </c>
      <c r="AR9" s="319" t="s">
        <v>343</v>
      </c>
      <c r="AS9" s="319" t="s">
        <v>122</v>
      </c>
      <c r="AT9" s="319" t="s">
        <v>369</v>
      </c>
      <c r="AU9" s="320" t="s">
        <v>226</v>
      </c>
      <c r="AV9" s="346" t="s">
        <v>298</v>
      </c>
      <c r="AW9" s="347" t="s">
        <v>596</v>
      </c>
      <c r="AX9" s="348" t="s">
        <v>597</v>
      </c>
      <c r="AY9" s="349" t="s">
        <v>598</v>
      </c>
      <c r="AZ9" s="135"/>
    </row>
    <row r="10" spans="3:52" ht="13.8" thickBot="1" x14ac:dyDescent="0.3">
      <c r="C10" s="327" t="str">
        <f>IF('3. Calculator'!B8=0, "", '3. Calculator'!B8)</f>
        <v/>
      </c>
      <c r="D10" s="328" t="str">
        <f>IF('3. Calculator'!D8=0, "", '3. Calculator'!D8)</f>
        <v/>
      </c>
      <c r="E10" s="328" t="str">
        <f>IF('3. Calculator'!E8=0, "", '3. Calculator'!E8)</f>
        <v/>
      </c>
      <c r="F10" s="328">
        <f>IF('3. Calculator'!L8="", 1, IF('3. Calculator'!L8="Not applicable", 1, IF('3. Calculator'!L8="Lower", 1, VLOOKUP('3. Calculator'!E8, HVConversionValues,2,FALSE))))</f>
        <v>1</v>
      </c>
      <c r="G10" s="328" t="str">
        <f>IF('3. Calculator'!H8=0, "", '3. Calculator'!H8)</f>
        <v/>
      </c>
      <c r="H10" s="329" t="str">
        <f>IF('3. Calculator'!I8=0, "", '3. Calculator'!I8)</f>
        <v/>
      </c>
      <c r="I10" s="497" t="str">
        <f>IF(ISNA(VLOOKUP('3. Calculator'!E8,fuelInfo,3, FALSE)), "", (VLOOKUP('3. Calculator'!E8,fuelInfo,3, FALSE)))</f>
        <v/>
      </c>
      <c r="J10" s="328" t="str">
        <f>IF(ISNA(VLOOKUP('3. Calculator'!E8, fuelInfo, 4, FALSE)),"", (VLOOKUP('3. Calculator'!E8, fuelInfo, 4, FALSE)))</f>
        <v/>
      </c>
      <c r="K10" s="492" t="str">
        <f>IF(ISNA(VLOOKUP('3. Calculator'!E8, fuelInfo, 4, FALSE)),"", (F10*VLOOKUP('3. Calculator'!E8, fuelInfo, 4, FALSE)))</f>
        <v/>
      </c>
      <c r="L10" s="328" t="str">
        <f>IF(ISNA(VLOOKUP('3. Calculator'!I8,unitStates,3,FALSE)), "", (VLOOKUP('3. Calculator'!I8,unitStates,3,FALSE)))</f>
        <v/>
      </c>
      <c r="M10" s="328" t="str">
        <f>IF(D10="My fuels", "", IF(L10=0, VLOOKUP('3. Calculator'!I8, energyEFs,3,FALSE),""))</f>
        <v/>
      </c>
      <c r="N10" s="427" t="str">
        <f>IF(M10="","",(1/F10)*I10)</f>
        <v/>
      </c>
      <c r="O10" s="328" t="str">
        <f>IF(M10="","", G10*(1/F10)*I10*M10)</f>
        <v/>
      </c>
      <c r="P10" s="328" t="str">
        <f t="shared" ref="P10:P28" si="0">IF(O10="","", IF(ISNA(VLOOKUP(E10, fuelInfo,2, FALSE)), "", (VLOOKUP(E10, fuelInfo,2, FALSE))))</f>
        <v/>
      </c>
      <c r="Q10" s="328" t="str">
        <f>IF(P10=1, O10, "")</f>
        <v/>
      </c>
      <c r="R10" s="328" t="str">
        <f>IF(P10=2, O10, "")</f>
        <v/>
      </c>
      <c r="S10" s="328" t="str">
        <f>IF(D10="My fuels", "", IF(L10=1, VLOOKUP('3. Calculator'!I8, solidEFs,3,FALSE),""))</f>
        <v/>
      </c>
      <c r="T10" s="328" t="str">
        <f>IF(S10="", "", I10*(1/F10)*G10*K10*S10)</f>
        <v/>
      </c>
      <c r="U10" s="328" t="str">
        <f t="shared" ref="U10:U28" si="1">IF(T10="","", IF(ISNA(VLOOKUP(E10, fuelInfo,2, FALSE)), "", (VLOOKUP(E10, fuelInfo,2, FALSE))))</f>
        <v/>
      </c>
      <c r="V10" s="328" t="str">
        <f t="shared" ref="V10:V28" si="2">IF(U10=1, T10, "")</f>
        <v/>
      </c>
      <c r="W10" s="328" t="str">
        <f t="shared" ref="W10:W28" si="3">IF(U10=2, T10, "")</f>
        <v/>
      </c>
      <c r="X10" s="328" t="str">
        <f>IF(D10="My fuels","",(IF(L10=2,VLOOKUP('3. Calculator'!E8,liquidLiterEFs,2,FALSE),"")))</f>
        <v/>
      </c>
      <c r="Y10" s="328" t="str">
        <f>+IF(X10="", "", IF(ISNA(VLOOKUP('3. Calculator'!I8,unitStates,4, FALSE)), "", (VLOOKUP('3. Calculator'!I8,unitStates,4, FALSE))))</f>
        <v/>
      </c>
      <c r="Z10" s="328" t="str">
        <f>IFERROR(IF(L10=2, G10*X10,""),"")</f>
        <v/>
      </c>
      <c r="AA10" s="328" t="str">
        <f t="shared" ref="AA10" si="4">IF(X10="", "", IF(Y10=2, 3.785,1))</f>
        <v/>
      </c>
      <c r="AB10" s="328" t="str">
        <f t="shared" ref="AB10" si="5">IF(X10="","",IF(Y10=3, 158.99,1))</f>
        <v/>
      </c>
      <c r="AC10" s="328" t="str">
        <f t="shared" ref="AC10" si="6">+IF(X10="", "", Z10*AA10*AB10)</f>
        <v/>
      </c>
      <c r="AD10" s="328" t="str">
        <f t="shared" ref="AD10" si="7">IF(AC10="","", IF(ISNA(VLOOKUP(E10, fuelInfo,2, FALSE)), "", (VLOOKUP(E10, fuelInfo,2, FALSE))))</f>
        <v/>
      </c>
      <c r="AE10" s="328" t="str">
        <f t="shared" ref="AE10" si="8">IF(AD10=1, AC10, "")</f>
        <v/>
      </c>
      <c r="AF10" s="328" t="str">
        <f t="shared" ref="AF10" si="9">IF(AD10=2, AC10, "")</f>
        <v/>
      </c>
      <c r="AG10" s="328" t="str">
        <f>IF(D10="My fuels", "", IF(L10=3, VLOOKUP('3. Calculator'!E8, gasMeter3EFs,2,FALSE),""))</f>
        <v/>
      </c>
      <c r="AH10" s="328" t="str">
        <f>+IF(AG10="", "", IF(ISNA(VLOOKUP('3. Calculator'!I8,unitStates,5, FALSE)), "", (VLOOKUP('3. Calculator'!I8,unitStates,5, FALSE))))</f>
        <v/>
      </c>
      <c r="AI10" s="328" t="str">
        <f t="shared" ref="AI10:AI28" si="10">IF(AG10="","", IF(AH10=1,1,0.02832))</f>
        <v/>
      </c>
      <c r="AJ10" s="328" t="str">
        <f t="shared" ref="AJ10:AJ28" si="11">IF(AG10="", "", G10*AG10*AI10)</f>
        <v/>
      </c>
      <c r="AK10" s="328" t="str">
        <f t="shared" ref="AK10:AK28" si="12">IF(AJ10="","", IF(ISNA(VLOOKUP(E10, fuelInfo,2, FALSE)), "", (VLOOKUP(E10, fuelInfo,2, FALSE))))</f>
        <v/>
      </c>
      <c r="AL10" s="328" t="str">
        <f t="shared" ref="AL10:AL28" si="13">IF(AK10=1, AJ10, "")</f>
        <v/>
      </c>
      <c r="AM10" s="328" t="str">
        <f t="shared" ref="AM10:AM28" si="14">IF(AK10=2, AJ10, "")</f>
        <v/>
      </c>
      <c r="AN10" s="328" t="str">
        <f t="shared" ref="AN10:AN28" si="15">IF(D10="My fuels", VLOOKUP(E10, customTable, 11, FALSE), "")</f>
        <v/>
      </c>
      <c r="AO10" s="326" t="str">
        <f t="shared" ref="AO10:AO28" si="16">IF(D10="My fuels", VLOOKUP(E10, customTable,3, FALSE)&amp;" "&amp;VLOOKUP(E10, customTable,6, FALSE)&amp;"/"&amp;VLOOKUP(E10, customTable,7, FALSE),"")</f>
        <v/>
      </c>
      <c r="AP10" s="328" t="str">
        <f t="shared" ref="AP10:AP28" si="17">IF(AN10="", "", AN10*G10)</f>
        <v/>
      </c>
      <c r="AQ10" s="328" t="str">
        <f>+IF(ISERROR(VLOOKUP(ghostSpreadsheet_CO2!H10,customConversionFactors, 4, FALSE)), "", VLOOKUP(ghostSpreadsheet_CO2!H10,customConversionFactors, 4, FALSE))</f>
        <v/>
      </c>
      <c r="AR10" s="328" t="str">
        <f t="shared" ref="AR10:AR28" si="18">IF(ISERROR(IF(AN10="", "", AP10*AQ10)), "", IF(AN10="", "", AP10*AQ10))</f>
        <v/>
      </c>
      <c r="AS10" s="328" t="str">
        <f t="shared" ref="AS10:AS28" si="19">IF(AR10="", "", IF(VLOOKUP(E10, customTable, 2, FALSE)="", "",IF(VLOOKUP(E10, customTable, 2, FALSE)="Fossil fuel", 1, 2)))</f>
        <v/>
      </c>
      <c r="AT10" s="328" t="str">
        <f t="shared" ref="AT10:AT28" si="20">IF(AS10=1, AR10, "")</f>
        <v/>
      </c>
      <c r="AU10" s="328" t="str">
        <f t="shared" ref="AU10:AU28" si="21">IF(AS10=2, AR10, "")</f>
        <v/>
      </c>
      <c r="AV10" s="328">
        <f t="shared" ref="AV10:AV28" si="22">IF(AR10="", IF(O10="",0,O10)+IF(T10="",0,T10)+IF(AC10="",0,AC10)+IF(AJ10="",0,AJ10), AR10)</f>
        <v>0</v>
      </c>
      <c r="AW10" s="328">
        <f t="shared" ref="AW10:AW28" si="23">IF(AT10="", IF(Q10="",0,Q10)+IF(V10="",0,V10)+IF(AE10="",0,AE10)+IF(AL10="",0,AL10), AT10)</f>
        <v>0</v>
      </c>
      <c r="AX10" s="328">
        <f t="shared" ref="AX10:AX28" si="24">IF(AU10="", IF(R10="",0,R10)+IF(W10="",0,W10)+IF(AF10="",0,AF10)+IF(AM10="",0,AM10), AU10)</f>
        <v>0</v>
      </c>
      <c r="AY10" s="329">
        <f>+AV10-AW10-AX10</f>
        <v>0</v>
      </c>
    </row>
    <row r="11" spans="3:52" ht="13.8" thickBot="1" x14ac:dyDescent="0.3">
      <c r="C11" s="330" t="str">
        <f>IF('3. Calculator'!B9=0, "", '3. Calculator'!B9)</f>
        <v/>
      </c>
      <c r="D11" s="326" t="str">
        <f>IF('3. Calculator'!D9=0, "", '3. Calculator'!D9)</f>
        <v/>
      </c>
      <c r="E11" s="326" t="str">
        <f>IF('3. Calculator'!E9=0, "", '3. Calculator'!E9)</f>
        <v/>
      </c>
      <c r="F11" s="326">
        <f>IF('3. Calculator'!L9="", 1, IF('3. Calculator'!L9="Not applicable", 1, IF('3. Calculator'!L9="Lower", 1, VLOOKUP('3. Calculator'!E9, HVConversionValues,2,FALSE))))</f>
        <v>1</v>
      </c>
      <c r="G11" s="326" t="str">
        <f>IF('3. Calculator'!H9=0, "", '3. Calculator'!H9)</f>
        <v/>
      </c>
      <c r="H11" s="331" t="str">
        <f>IF('3. Calculator'!I9=0, "", '3. Calculator'!I9)</f>
        <v/>
      </c>
      <c r="I11" s="498" t="str">
        <f>IF(ISNA(VLOOKUP('3. Calculator'!E9,fuelInfo,3, FALSE)), "", (VLOOKUP('3. Calculator'!E9,fuelInfo,3, FALSE)))</f>
        <v/>
      </c>
      <c r="J11" s="326" t="str">
        <f>IF(ISNA(VLOOKUP('3. Calculator'!E9, fuelInfo, 4, FALSE)),"", (VLOOKUP('3. Calculator'!E9, fuelInfo, 4, FALSE)))</f>
        <v/>
      </c>
      <c r="K11" s="493" t="str">
        <f>IF(ISNA(VLOOKUP('3. Calculator'!E9, fuelInfo, 4, FALSE)),"", (F11*VLOOKUP('3. Calculator'!E9, fuelInfo, 4, FALSE)))</f>
        <v/>
      </c>
      <c r="L11" s="326" t="str">
        <f>IF(ISNA(VLOOKUP('3. Calculator'!I9,unitStates,3,FALSE)), "", (VLOOKUP('3. Calculator'!I9,unitStates,3,FALSE)))</f>
        <v/>
      </c>
      <c r="M11" s="328" t="str">
        <f>IF(D11="My fuels", "", IF(L11=0, VLOOKUP('3. Calculator'!I9, energyEFs,3,FALSE),""))</f>
        <v/>
      </c>
      <c r="N11" s="427" t="str">
        <f t="shared" ref="N11:N28" si="25">IF(M11="","",(1/F11)*I11)</f>
        <v/>
      </c>
      <c r="O11" s="328" t="str">
        <f t="shared" ref="O11:O28" si="26">IF(M11="","", G11*(1/F11)*I11*M11)</f>
        <v/>
      </c>
      <c r="P11" s="328" t="str">
        <f t="shared" si="0"/>
        <v/>
      </c>
      <c r="Q11" s="328" t="str">
        <f t="shared" ref="Q11:Q28" si="27">IF(P11=1, O11, "")</f>
        <v/>
      </c>
      <c r="R11" s="328" t="str">
        <f t="shared" ref="R11:R28" si="28">IF(P11=2, O11, "")</f>
        <v/>
      </c>
      <c r="S11" s="326" t="str">
        <f>IF(D11="My fuels", "", IF(L11=1, VLOOKUP('3. Calculator'!I9, solidEFs,3,FALSE),""))</f>
        <v/>
      </c>
      <c r="T11" s="326" t="str">
        <f t="shared" ref="T11:T28" si="29">IF(S11="", "", I11*(1/F11)*G11*K11*S11)</f>
        <v/>
      </c>
      <c r="U11" s="326" t="str">
        <f t="shared" si="1"/>
        <v/>
      </c>
      <c r="V11" s="326" t="str">
        <f t="shared" si="2"/>
        <v/>
      </c>
      <c r="W11" s="326" t="str">
        <f t="shared" si="3"/>
        <v/>
      </c>
      <c r="X11" s="326" t="str">
        <f>IF(D11="My fuels","",(IF(L11=2,VLOOKUP('3. Calculator'!E9,liquidLiterEFs,2,FALSE),"")))</f>
        <v/>
      </c>
      <c r="Y11" s="326" t="str">
        <f>+IF(X11="", "", IF(ISNA(VLOOKUP('3. Calculator'!I9,unitStates,4, FALSE)), "", (VLOOKUP('3. Calculator'!I9,unitStates,4, FALSE))))</f>
        <v/>
      </c>
      <c r="Z11" s="326" t="str">
        <f t="shared" ref="Z11:Z28" si="30">IFERROR(IF(L11=2, G11*X11,""),"")</f>
        <v/>
      </c>
      <c r="AA11" s="326" t="str">
        <f t="shared" ref="AA11:AA28" si="31">IF(X11="", "", IF(Y11=2, 3.785,1))</f>
        <v/>
      </c>
      <c r="AB11" s="326" t="str">
        <f t="shared" ref="AB11:AB28" si="32">IF(X11="","",IF(Y11=3, 158.99,1))</f>
        <v/>
      </c>
      <c r="AC11" s="326" t="str">
        <f t="shared" ref="AC11:AC28" si="33">+IF(X11="", "", Z11*AA11*AB11)</f>
        <v/>
      </c>
      <c r="AD11" s="326" t="str">
        <f t="shared" ref="AD11:AD28" si="34">IF(AC11="","", IF(ISNA(VLOOKUP(E11, fuelInfo,2, FALSE)), "", (VLOOKUP(E11, fuelInfo,2, FALSE))))</f>
        <v/>
      </c>
      <c r="AE11" s="326" t="str">
        <f t="shared" ref="AE11:AE28" si="35">IF(AD11=1, AC11, "")</f>
        <v/>
      </c>
      <c r="AF11" s="326" t="str">
        <f t="shared" ref="AF11:AF28" si="36">IF(AD11=2, AC11, "")</f>
        <v/>
      </c>
      <c r="AG11" s="326" t="str">
        <f>IF(D11="My fuels", "", IF(L11=3, VLOOKUP('3. Calculator'!E9, gasMeter3EFs,2,FALSE),""))</f>
        <v/>
      </c>
      <c r="AH11" s="326" t="str">
        <f>+IF(AG11="", "", IF(ISNA(VLOOKUP('3. Calculator'!I9,unitStates,5, FALSE)), "", (VLOOKUP('3. Calculator'!I9,unitStates,5, FALSE))))</f>
        <v/>
      </c>
      <c r="AI11" s="326" t="str">
        <f t="shared" si="10"/>
        <v/>
      </c>
      <c r="AJ11" s="326" t="str">
        <f t="shared" si="11"/>
        <v/>
      </c>
      <c r="AK11" s="326" t="str">
        <f t="shared" si="12"/>
        <v/>
      </c>
      <c r="AL11" s="326" t="str">
        <f t="shared" si="13"/>
        <v/>
      </c>
      <c r="AM11" s="326" t="str">
        <f t="shared" si="14"/>
        <v/>
      </c>
      <c r="AN11" s="326" t="str">
        <f t="shared" si="15"/>
        <v/>
      </c>
      <c r="AO11" s="326" t="str">
        <f t="shared" si="16"/>
        <v/>
      </c>
      <c r="AP11" s="326" t="str">
        <f t="shared" si="17"/>
        <v/>
      </c>
      <c r="AQ11" s="326" t="str">
        <f>+IF(ISERROR(VLOOKUP(ghostSpreadsheet_CO2!H11,customConversionFactors, 4, FALSE)), "", VLOOKUP(ghostSpreadsheet_CO2!H11,customConversionFactors, 4, FALSE))</f>
        <v/>
      </c>
      <c r="AR11" s="326" t="str">
        <f t="shared" si="18"/>
        <v/>
      </c>
      <c r="AS11" s="326" t="str">
        <f t="shared" si="19"/>
        <v/>
      </c>
      <c r="AT11" s="326" t="str">
        <f t="shared" si="20"/>
        <v/>
      </c>
      <c r="AU11" s="326" t="str">
        <f t="shared" si="21"/>
        <v/>
      </c>
      <c r="AV11" s="326">
        <f t="shared" si="22"/>
        <v>0</v>
      </c>
      <c r="AW11" s="326">
        <f t="shared" si="23"/>
        <v>0</v>
      </c>
      <c r="AX11" s="326">
        <f t="shared" si="24"/>
        <v>0</v>
      </c>
      <c r="AY11" s="331">
        <f t="shared" ref="AY11:AY14" si="37">+AV11-AW11-AX11</f>
        <v>0</v>
      </c>
    </row>
    <row r="12" spans="3:52" ht="13.8" thickBot="1" x14ac:dyDescent="0.3">
      <c r="C12" s="330" t="str">
        <f>IF('3. Calculator'!B10=0, "", '3. Calculator'!B10)</f>
        <v/>
      </c>
      <c r="D12" s="326" t="str">
        <f>IF('3. Calculator'!D10=0, "", '3. Calculator'!D10)</f>
        <v/>
      </c>
      <c r="E12" s="326" t="str">
        <f>IF('3. Calculator'!E10=0, "", '3. Calculator'!E10)</f>
        <v/>
      </c>
      <c r="F12" s="326">
        <f>IF('3. Calculator'!L10="", 1, IF('3. Calculator'!L10="Not applicable", 1, IF('3. Calculator'!L10="Lower", 1, VLOOKUP('3. Calculator'!E10, HVConversionValues,2,FALSE))))</f>
        <v>1</v>
      </c>
      <c r="G12" s="326" t="str">
        <f>IF('3. Calculator'!H10=0, "", '3. Calculator'!H10)</f>
        <v/>
      </c>
      <c r="H12" s="331" t="str">
        <f>IF('3. Calculator'!I10=0, "", '3. Calculator'!I10)</f>
        <v/>
      </c>
      <c r="I12" s="498" t="str">
        <f>IF(ISNA(VLOOKUP('3. Calculator'!E10,fuelInfo,3, FALSE)), "", (VLOOKUP('3. Calculator'!E10,fuelInfo,3, FALSE)))</f>
        <v/>
      </c>
      <c r="J12" s="326" t="str">
        <f>IF(ISNA(VLOOKUP('3. Calculator'!E10, fuelInfo, 4, FALSE)),"", (VLOOKUP('3. Calculator'!E10, fuelInfo, 4, FALSE)))</f>
        <v/>
      </c>
      <c r="K12" s="493" t="str">
        <f>IF(ISNA(VLOOKUP('3. Calculator'!E10, fuelInfo, 4, FALSE)),"", (F12*VLOOKUP('3. Calculator'!E10, fuelInfo, 4, FALSE)))</f>
        <v/>
      </c>
      <c r="L12" s="326" t="str">
        <f>IF(ISNA(VLOOKUP('3. Calculator'!I10,unitStates,3,FALSE)), "", (VLOOKUP('3. Calculator'!I10,unitStates,3,FALSE)))</f>
        <v/>
      </c>
      <c r="M12" s="328" t="str">
        <f>IF(D12="My fuels", "", IF(L12=0, VLOOKUP('3. Calculator'!I10, energyEFs,3,FALSE),""))</f>
        <v/>
      </c>
      <c r="N12" s="427" t="str">
        <f t="shared" si="25"/>
        <v/>
      </c>
      <c r="O12" s="328" t="str">
        <f t="shared" si="26"/>
        <v/>
      </c>
      <c r="P12" s="328" t="str">
        <f t="shared" si="0"/>
        <v/>
      </c>
      <c r="Q12" s="328" t="str">
        <f t="shared" si="27"/>
        <v/>
      </c>
      <c r="R12" s="328" t="str">
        <f t="shared" si="28"/>
        <v/>
      </c>
      <c r="S12" s="326" t="str">
        <f>IF(D12="My fuels", "", IF(L12=1, VLOOKUP('3. Calculator'!I10, solidEFs,3,FALSE),""))</f>
        <v/>
      </c>
      <c r="T12" s="326" t="str">
        <f t="shared" si="29"/>
        <v/>
      </c>
      <c r="U12" s="326" t="str">
        <f t="shared" si="1"/>
        <v/>
      </c>
      <c r="V12" s="326" t="str">
        <f t="shared" si="2"/>
        <v/>
      </c>
      <c r="W12" s="326" t="str">
        <f t="shared" si="3"/>
        <v/>
      </c>
      <c r="X12" s="326" t="str">
        <f>IF(D12="My fuels","",(IF(L12=2,VLOOKUP('3. Calculator'!E10,liquidLiterEFs,2,FALSE),"")))</f>
        <v/>
      </c>
      <c r="Y12" s="326" t="str">
        <f>+IF(X12="", "", IF(ISNA(VLOOKUP('3. Calculator'!I10,unitStates,4, FALSE)), "", (VLOOKUP('3. Calculator'!I10,unitStates,4, FALSE))))</f>
        <v/>
      </c>
      <c r="Z12" s="326" t="str">
        <f t="shared" si="30"/>
        <v/>
      </c>
      <c r="AA12" s="326" t="str">
        <f t="shared" si="31"/>
        <v/>
      </c>
      <c r="AB12" s="326" t="str">
        <f t="shared" si="32"/>
        <v/>
      </c>
      <c r="AC12" s="326" t="str">
        <f t="shared" si="33"/>
        <v/>
      </c>
      <c r="AD12" s="326" t="str">
        <f t="shared" si="34"/>
        <v/>
      </c>
      <c r="AE12" s="326" t="str">
        <f t="shared" si="35"/>
        <v/>
      </c>
      <c r="AF12" s="326" t="str">
        <f t="shared" si="36"/>
        <v/>
      </c>
      <c r="AG12" s="326" t="str">
        <f>IF(D12="My fuels", "", IF(L12=3, VLOOKUP('3. Calculator'!E10, gasMeter3EFs,2,FALSE),""))</f>
        <v/>
      </c>
      <c r="AH12" s="326" t="str">
        <f>+IF(AG12="", "", IF(ISNA(VLOOKUP('3. Calculator'!I10,unitStates,5, FALSE)), "", (VLOOKUP('3. Calculator'!I10,unitStates,5, FALSE))))</f>
        <v/>
      </c>
      <c r="AI12" s="326" t="str">
        <f t="shared" si="10"/>
        <v/>
      </c>
      <c r="AJ12" s="326" t="str">
        <f t="shared" si="11"/>
        <v/>
      </c>
      <c r="AK12" s="326" t="str">
        <f t="shared" si="12"/>
        <v/>
      </c>
      <c r="AL12" s="326" t="str">
        <f t="shared" si="13"/>
        <v/>
      </c>
      <c r="AM12" s="326" t="str">
        <f t="shared" si="14"/>
        <v/>
      </c>
      <c r="AN12" s="326" t="str">
        <f t="shared" si="15"/>
        <v/>
      </c>
      <c r="AO12" s="326" t="str">
        <f t="shared" si="16"/>
        <v/>
      </c>
      <c r="AP12" s="326" t="str">
        <f t="shared" si="17"/>
        <v/>
      </c>
      <c r="AQ12" s="326" t="str">
        <f>+IF(ISERROR(VLOOKUP(ghostSpreadsheet_CO2!H12,customConversionFactors, 4, FALSE)), "", VLOOKUP(ghostSpreadsheet_CO2!H12,customConversionFactors, 4, FALSE))</f>
        <v/>
      </c>
      <c r="AR12" s="326" t="str">
        <f t="shared" si="18"/>
        <v/>
      </c>
      <c r="AS12" s="326" t="str">
        <f t="shared" si="19"/>
        <v/>
      </c>
      <c r="AT12" s="326" t="str">
        <f t="shared" si="20"/>
        <v/>
      </c>
      <c r="AU12" s="326" t="str">
        <f t="shared" si="21"/>
        <v/>
      </c>
      <c r="AV12" s="326">
        <f t="shared" si="22"/>
        <v>0</v>
      </c>
      <c r="AW12" s="326">
        <f t="shared" si="23"/>
        <v>0</v>
      </c>
      <c r="AX12" s="326">
        <f t="shared" si="24"/>
        <v>0</v>
      </c>
      <c r="AY12" s="331">
        <f t="shared" si="37"/>
        <v>0</v>
      </c>
    </row>
    <row r="13" spans="3:52" ht="13.8" thickBot="1" x14ac:dyDescent="0.3">
      <c r="C13" s="330" t="str">
        <f>IF('3. Calculator'!B11=0, "", '3. Calculator'!B11)</f>
        <v/>
      </c>
      <c r="D13" s="326" t="str">
        <f>IF('3. Calculator'!D11=0, "", '3. Calculator'!D11)</f>
        <v/>
      </c>
      <c r="E13" s="326" t="str">
        <f>IF('3. Calculator'!E11=0, "", '3. Calculator'!E11)</f>
        <v/>
      </c>
      <c r="F13" s="326">
        <f>IF('3. Calculator'!L11="", 1, IF('3. Calculator'!L11="Not applicable", 1, IF('3. Calculator'!L11="Lower", 1, VLOOKUP('3. Calculator'!E11, HVConversionValues,2,FALSE))))</f>
        <v>1</v>
      </c>
      <c r="G13" s="326" t="str">
        <f>IF('3. Calculator'!H11=0, "", '3. Calculator'!H11)</f>
        <v/>
      </c>
      <c r="H13" s="331" t="str">
        <f>IF('3. Calculator'!I11=0, "", '3. Calculator'!I11)</f>
        <v/>
      </c>
      <c r="I13" s="498" t="str">
        <f>IF(ISNA(VLOOKUP('3. Calculator'!E11,fuelInfo,3, FALSE)), "", (VLOOKUP('3. Calculator'!E11,fuelInfo,3, FALSE)))</f>
        <v/>
      </c>
      <c r="J13" s="326" t="str">
        <f>IF(ISNA(VLOOKUP('3. Calculator'!E11, fuelInfo, 4, FALSE)),"", (VLOOKUP('3. Calculator'!E11, fuelInfo, 4, FALSE)))</f>
        <v/>
      </c>
      <c r="K13" s="326" t="str">
        <f>IF(ISNA(VLOOKUP('3. Calculator'!E11, fuelInfo, 4, FALSE)),"", (F13*VLOOKUP('3. Calculator'!E11, fuelInfo, 4, FALSE)))</f>
        <v/>
      </c>
      <c r="L13" s="326" t="str">
        <f>IF(ISNA(VLOOKUP('3. Calculator'!I11,unitStates,3,FALSE)), "", (VLOOKUP('3. Calculator'!I11,unitStates,3,FALSE)))</f>
        <v/>
      </c>
      <c r="M13" s="328" t="str">
        <f>IF(D13="My fuels", "", IF(L13=0, VLOOKUP('3. Calculator'!I11, energyEFs,3,FALSE),""))</f>
        <v/>
      </c>
      <c r="N13" s="427" t="str">
        <f t="shared" si="25"/>
        <v/>
      </c>
      <c r="O13" s="328" t="str">
        <f t="shared" si="26"/>
        <v/>
      </c>
      <c r="P13" s="328" t="str">
        <f t="shared" si="0"/>
        <v/>
      </c>
      <c r="Q13" s="328" t="str">
        <f t="shared" si="27"/>
        <v/>
      </c>
      <c r="R13" s="328" t="str">
        <f t="shared" si="28"/>
        <v/>
      </c>
      <c r="S13" s="326" t="str">
        <f>IF(D13="My fuels", "", IF(L13=1, VLOOKUP('3. Calculator'!I11, solidEFs,3,FALSE),""))</f>
        <v/>
      </c>
      <c r="T13" s="326" t="str">
        <f t="shared" si="29"/>
        <v/>
      </c>
      <c r="U13" s="326" t="str">
        <f t="shared" si="1"/>
        <v/>
      </c>
      <c r="V13" s="326" t="str">
        <f t="shared" si="2"/>
        <v/>
      </c>
      <c r="W13" s="326" t="str">
        <f t="shared" si="3"/>
        <v/>
      </c>
      <c r="X13" s="326" t="str">
        <f>IF(D13="My fuels","",(IF(L13=2,VLOOKUP('3. Calculator'!E11,liquidLiterEFs,2,FALSE),"")))</f>
        <v/>
      </c>
      <c r="Y13" s="326" t="str">
        <f>+IF(X13="", "", IF(ISNA(VLOOKUP('3. Calculator'!I11,unitStates,4, FALSE)), "", (VLOOKUP('3. Calculator'!I11,unitStates,4, FALSE))))</f>
        <v/>
      </c>
      <c r="Z13" s="326" t="str">
        <f t="shared" si="30"/>
        <v/>
      </c>
      <c r="AA13" s="326" t="str">
        <f t="shared" si="31"/>
        <v/>
      </c>
      <c r="AB13" s="326" t="str">
        <f t="shared" si="32"/>
        <v/>
      </c>
      <c r="AC13" s="326" t="str">
        <f t="shared" si="33"/>
        <v/>
      </c>
      <c r="AD13" s="326" t="str">
        <f t="shared" si="34"/>
        <v/>
      </c>
      <c r="AE13" s="326" t="str">
        <f t="shared" si="35"/>
        <v/>
      </c>
      <c r="AF13" s="326" t="str">
        <f t="shared" si="36"/>
        <v/>
      </c>
      <c r="AG13" s="326" t="str">
        <f>IF(D13="My fuels", "", IF(L13=3, VLOOKUP('3. Calculator'!E11, gasMeter3EFs,2,FALSE),""))</f>
        <v/>
      </c>
      <c r="AH13" s="326" t="str">
        <f>+IF(AG13="", "", IF(ISNA(VLOOKUP('3. Calculator'!I11,unitStates,5, FALSE)), "", (VLOOKUP('3. Calculator'!I11,unitStates,5, FALSE))))</f>
        <v/>
      </c>
      <c r="AI13" s="326" t="str">
        <f t="shared" si="10"/>
        <v/>
      </c>
      <c r="AJ13" s="326" t="str">
        <f t="shared" si="11"/>
        <v/>
      </c>
      <c r="AK13" s="326" t="str">
        <f t="shared" si="12"/>
        <v/>
      </c>
      <c r="AL13" s="326" t="str">
        <f t="shared" si="13"/>
        <v/>
      </c>
      <c r="AM13" s="326" t="str">
        <f>IF(AK13=2, AJ13, "")</f>
        <v/>
      </c>
      <c r="AN13" s="326" t="str">
        <f t="shared" si="15"/>
        <v/>
      </c>
      <c r="AO13" s="326" t="str">
        <f t="shared" si="16"/>
        <v/>
      </c>
      <c r="AP13" s="326" t="str">
        <f t="shared" si="17"/>
        <v/>
      </c>
      <c r="AQ13" s="326" t="str">
        <f>+IF(ISERROR(VLOOKUP(ghostSpreadsheet_CO2!H13,customConversionFactors, 4, FALSE)), "", VLOOKUP(ghostSpreadsheet_CO2!H13,customConversionFactors, 4, FALSE))</f>
        <v/>
      </c>
      <c r="AR13" s="326" t="str">
        <f t="shared" si="18"/>
        <v/>
      </c>
      <c r="AS13" s="326" t="str">
        <f t="shared" si="19"/>
        <v/>
      </c>
      <c r="AT13" s="326" t="str">
        <f t="shared" si="20"/>
        <v/>
      </c>
      <c r="AU13" s="326" t="str">
        <f t="shared" si="21"/>
        <v/>
      </c>
      <c r="AV13" s="326">
        <f t="shared" si="22"/>
        <v>0</v>
      </c>
      <c r="AW13" s="326">
        <f t="shared" si="23"/>
        <v>0</v>
      </c>
      <c r="AX13" s="326">
        <f t="shared" si="24"/>
        <v>0</v>
      </c>
      <c r="AY13" s="331">
        <f t="shared" si="37"/>
        <v>0</v>
      </c>
    </row>
    <row r="14" spans="3:52" ht="13.8" thickBot="1" x14ac:dyDescent="0.3">
      <c r="C14" s="330" t="str">
        <f>IF('3. Calculator'!B12=0, "", '3. Calculator'!B12)</f>
        <v/>
      </c>
      <c r="D14" s="326" t="str">
        <f>IF('3. Calculator'!D12=0, "", '3. Calculator'!D12)</f>
        <v/>
      </c>
      <c r="E14" s="326" t="str">
        <f>IF('3. Calculator'!E12=0, "", '3. Calculator'!E12)</f>
        <v/>
      </c>
      <c r="F14" s="326">
        <f>IF('3. Calculator'!L12="", 1, IF('3. Calculator'!L12="Not applicable", 1, IF('3. Calculator'!L12="Lower", 1, VLOOKUP('3. Calculator'!E12, HVConversionValues,2,FALSE))))</f>
        <v>1</v>
      </c>
      <c r="G14" s="326" t="str">
        <f>IF('3. Calculator'!H12=0, "", '3. Calculator'!H12)</f>
        <v/>
      </c>
      <c r="H14" s="331" t="str">
        <f>IF('3. Calculator'!I12=0, "", '3. Calculator'!I12)</f>
        <v/>
      </c>
      <c r="I14" s="498" t="str">
        <f>IF(ISNA(VLOOKUP('3. Calculator'!E12,fuelInfo,3, FALSE)), "", (VLOOKUP('3. Calculator'!E12,fuelInfo,3, FALSE)))</f>
        <v/>
      </c>
      <c r="J14" s="326" t="str">
        <f>IF(ISNA(VLOOKUP('3. Calculator'!E12, fuelInfo, 4, FALSE)),"", (VLOOKUP('3. Calculator'!E12, fuelInfo, 4, FALSE)))</f>
        <v/>
      </c>
      <c r="K14" s="326" t="str">
        <f>IF(ISNA(VLOOKUP('3. Calculator'!E12, fuelInfo, 4, FALSE)),"", (F14*VLOOKUP('3. Calculator'!E12, fuelInfo, 4, FALSE)))</f>
        <v/>
      </c>
      <c r="L14" s="326" t="str">
        <f>IF(ISNA(VLOOKUP('3. Calculator'!I12,unitStates,3,FALSE)), "", (VLOOKUP('3. Calculator'!I12,unitStates,3,FALSE)))</f>
        <v/>
      </c>
      <c r="M14" s="328" t="str">
        <f>IF(D14="My fuels", "", IF(L14=0, VLOOKUP('3. Calculator'!I12, energyEFs,3,FALSE),""))</f>
        <v/>
      </c>
      <c r="N14" s="427" t="str">
        <f t="shared" si="25"/>
        <v/>
      </c>
      <c r="O14" s="328" t="str">
        <f t="shared" si="26"/>
        <v/>
      </c>
      <c r="P14" s="328" t="str">
        <f t="shared" si="0"/>
        <v/>
      </c>
      <c r="Q14" s="328" t="str">
        <f t="shared" si="27"/>
        <v/>
      </c>
      <c r="R14" s="328" t="str">
        <f t="shared" si="28"/>
        <v/>
      </c>
      <c r="S14" s="326" t="str">
        <f>IF(D14="My fuels", "", IF(L14=1, VLOOKUP('3. Calculator'!I12, solidEFs,3,FALSE),""))</f>
        <v/>
      </c>
      <c r="T14" s="326" t="str">
        <f t="shared" si="29"/>
        <v/>
      </c>
      <c r="U14" s="326" t="str">
        <f t="shared" si="1"/>
        <v/>
      </c>
      <c r="V14" s="326" t="str">
        <f t="shared" si="2"/>
        <v/>
      </c>
      <c r="W14" s="326" t="str">
        <f t="shared" si="3"/>
        <v/>
      </c>
      <c r="X14" s="326" t="str">
        <f>IF(D14="My fuels","",(IF(L14=2,VLOOKUP('3. Calculator'!E12,liquidLiterEFs,2,FALSE),"")))</f>
        <v/>
      </c>
      <c r="Y14" s="326" t="str">
        <f>+IF(X14="", "", IF(ISNA(VLOOKUP('3. Calculator'!I12,unitStates,4, FALSE)), "", (VLOOKUP('3. Calculator'!I12,unitStates,4, FALSE))))</f>
        <v/>
      </c>
      <c r="Z14" s="326" t="str">
        <f t="shared" si="30"/>
        <v/>
      </c>
      <c r="AA14" s="326" t="str">
        <f t="shared" si="31"/>
        <v/>
      </c>
      <c r="AB14" s="326" t="str">
        <f t="shared" si="32"/>
        <v/>
      </c>
      <c r="AC14" s="326" t="str">
        <f t="shared" si="33"/>
        <v/>
      </c>
      <c r="AD14" s="326" t="str">
        <f t="shared" si="34"/>
        <v/>
      </c>
      <c r="AE14" s="326" t="str">
        <f t="shared" si="35"/>
        <v/>
      </c>
      <c r="AF14" s="326" t="str">
        <f t="shared" si="36"/>
        <v/>
      </c>
      <c r="AG14" s="326" t="str">
        <f>IF(D14="My fuels", "", IF(L14=3, VLOOKUP('3. Calculator'!E12, gasMeter3EFs,2,FALSE),""))</f>
        <v/>
      </c>
      <c r="AH14" s="326" t="str">
        <f>+IF(AG14="", "", IF(ISNA(VLOOKUP('3. Calculator'!I12,unitStates,5, FALSE)), "", (VLOOKUP('3. Calculator'!I12,unitStates,5, FALSE))))</f>
        <v/>
      </c>
      <c r="AI14" s="326" t="str">
        <f t="shared" si="10"/>
        <v/>
      </c>
      <c r="AJ14" s="326" t="str">
        <f t="shared" si="11"/>
        <v/>
      </c>
      <c r="AK14" s="326" t="str">
        <f t="shared" si="12"/>
        <v/>
      </c>
      <c r="AL14" s="326" t="str">
        <f t="shared" si="13"/>
        <v/>
      </c>
      <c r="AM14" s="326" t="str">
        <f t="shared" si="14"/>
        <v/>
      </c>
      <c r="AN14" s="326" t="str">
        <f t="shared" si="15"/>
        <v/>
      </c>
      <c r="AO14" s="326" t="str">
        <f t="shared" si="16"/>
        <v/>
      </c>
      <c r="AP14" s="326" t="str">
        <f t="shared" si="17"/>
        <v/>
      </c>
      <c r="AQ14" s="326" t="str">
        <f>+IF(ISERROR(VLOOKUP(ghostSpreadsheet_CO2!H14,customConversionFactors, 4, FALSE)), "", VLOOKUP(ghostSpreadsheet_CO2!H14,customConversionFactors, 4, FALSE))</f>
        <v/>
      </c>
      <c r="AR14" s="326" t="str">
        <f t="shared" si="18"/>
        <v/>
      </c>
      <c r="AS14" s="326" t="str">
        <f t="shared" si="19"/>
        <v/>
      </c>
      <c r="AT14" s="326" t="str">
        <f t="shared" si="20"/>
        <v/>
      </c>
      <c r="AU14" s="326" t="str">
        <f t="shared" si="21"/>
        <v/>
      </c>
      <c r="AV14" s="326">
        <f t="shared" si="22"/>
        <v>0</v>
      </c>
      <c r="AW14" s="326">
        <f t="shared" si="23"/>
        <v>0</v>
      </c>
      <c r="AX14" s="326">
        <f t="shared" si="24"/>
        <v>0</v>
      </c>
      <c r="AY14" s="331">
        <f t="shared" si="37"/>
        <v>0</v>
      </c>
    </row>
    <row r="15" spans="3:52" ht="13.8" thickBot="1" x14ac:dyDescent="0.3">
      <c r="C15" s="330" t="str">
        <f>IF('3. Calculator'!B13=0, "", '3. Calculator'!B13)</f>
        <v/>
      </c>
      <c r="D15" s="326" t="str">
        <f>IF('3. Calculator'!D13=0, "", '3. Calculator'!D13)</f>
        <v/>
      </c>
      <c r="E15" s="326" t="str">
        <f>IF('3. Calculator'!E13=0, "", '3. Calculator'!E13)</f>
        <v/>
      </c>
      <c r="F15" s="326">
        <f>IF('3. Calculator'!L13="", 1, IF('3. Calculator'!L13="Not applicable", 1, IF('3. Calculator'!L13="Lower", 1, VLOOKUP('3. Calculator'!E13, HVConversionValues,2,FALSE))))</f>
        <v>1</v>
      </c>
      <c r="G15" s="326" t="str">
        <f>IF('3. Calculator'!H13=0, "", '3. Calculator'!H13)</f>
        <v/>
      </c>
      <c r="H15" s="331" t="str">
        <f>IF('3. Calculator'!I13=0, "", '3. Calculator'!I13)</f>
        <v/>
      </c>
      <c r="I15" s="498" t="str">
        <f>IF(ISNA(VLOOKUP('3. Calculator'!E13,fuelInfo,3, FALSE)), "", (VLOOKUP('3. Calculator'!E13,fuelInfo,3, FALSE)))</f>
        <v/>
      </c>
      <c r="J15" s="326" t="str">
        <f>IF(ISNA(VLOOKUP('3. Calculator'!E13, fuelInfo, 4, FALSE)),"", (VLOOKUP('3. Calculator'!E13, fuelInfo, 4, FALSE)))</f>
        <v/>
      </c>
      <c r="K15" s="326" t="str">
        <f>IF(ISNA(VLOOKUP('3. Calculator'!E13, fuelInfo, 4, FALSE)),"", (F15*VLOOKUP('3. Calculator'!E13, fuelInfo, 4, FALSE)))</f>
        <v/>
      </c>
      <c r="L15" s="326" t="str">
        <f>IF(ISNA(VLOOKUP('3. Calculator'!I13,unitStates,3,FALSE)), "", (VLOOKUP('3. Calculator'!I13,unitStates,3,FALSE)))</f>
        <v/>
      </c>
      <c r="M15" s="328" t="str">
        <f>IF(D15="My fuels", "", IF(L15=0, VLOOKUP('3. Calculator'!I13, energyEFs,3,FALSE),""))</f>
        <v/>
      </c>
      <c r="N15" s="427" t="str">
        <f t="shared" si="25"/>
        <v/>
      </c>
      <c r="O15" s="328" t="str">
        <f t="shared" si="26"/>
        <v/>
      </c>
      <c r="P15" s="328" t="str">
        <f t="shared" si="0"/>
        <v/>
      </c>
      <c r="Q15" s="328" t="str">
        <f t="shared" si="27"/>
        <v/>
      </c>
      <c r="R15" s="328" t="str">
        <f t="shared" si="28"/>
        <v/>
      </c>
      <c r="S15" s="326" t="str">
        <f>IF(D15="My fuels", "", IF(L15=1, VLOOKUP('3. Calculator'!I13, solidEFs,3,FALSE),""))</f>
        <v/>
      </c>
      <c r="T15" s="326" t="str">
        <f t="shared" si="29"/>
        <v/>
      </c>
      <c r="U15" s="326" t="str">
        <f t="shared" si="1"/>
        <v/>
      </c>
      <c r="V15" s="326" t="str">
        <f t="shared" si="2"/>
        <v/>
      </c>
      <c r="W15" s="326" t="str">
        <f t="shared" si="3"/>
        <v/>
      </c>
      <c r="X15" s="326" t="str">
        <f>IF(D15="My fuels","",(IF(L15=2,VLOOKUP('3. Calculator'!E13,liquidLiterEFs,2,FALSE),"")))</f>
        <v/>
      </c>
      <c r="Y15" s="326" t="str">
        <f>+IF(X15="", "", IF(ISNA(VLOOKUP('3. Calculator'!I13,unitStates,4, FALSE)), "", (VLOOKUP('3. Calculator'!I13,unitStates,4, FALSE))))</f>
        <v/>
      </c>
      <c r="Z15" s="326" t="str">
        <f t="shared" si="30"/>
        <v/>
      </c>
      <c r="AA15" s="326" t="str">
        <f t="shared" si="31"/>
        <v/>
      </c>
      <c r="AB15" s="326" t="str">
        <f t="shared" si="32"/>
        <v/>
      </c>
      <c r="AC15" s="326" t="str">
        <f t="shared" si="33"/>
        <v/>
      </c>
      <c r="AD15" s="326" t="str">
        <f t="shared" si="34"/>
        <v/>
      </c>
      <c r="AE15" s="326" t="str">
        <f t="shared" si="35"/>
        <v/>
      </c>
      <c r="AF15" s="326" t="str">
        <f t="shared" si="36"/>
        <v/>
      </c>
      <c r="AG15" s="326" t="str">
        <f>IF(D15="My fuels", "", IF(L15=3, VLOOKUP('3. Calculator'!E13, gasMeter3EFs,2,FALSE),""))</f>
        <v/>
      </c>
      <c r="AH15" s="326" t="str">
        <f>+IF(AG15="", "", IF(ISNA(VLOOKUP('3. Calculator'!I13,unitStates,5, FALSE)), "", (VLOOKUP('3. Calculator'!I13,unitStates,5, FALSE))))</f>
        <v/>
      </c>
      <c r="AI15" s="326" t="str">
        <f t="shared" si="10"/>
        <v/>
      </c>
      <c r="AJ15" s="326" t="str">
        <f t="shared" si="11"/>
        <v/>
      </c>
      <c r="AK15" s="326" t="str">
        <f t="shared" si="12"/>
        <v/>
      </c>
      <c r="AL15" s="326" t="str">
        <f t="shared" si="13"/>
        <v/>
      </c>
      <c r="AM15" s="326" t="str">
        <f t="shared" si="14"/>
        <v/>
      </c>
      <c r="AN15" s="326" t="str">
        <f t="shared" si="15"/>
        <v/>
      </c>
      <c r="AO15" s="326" t="str">
        <f t="shared" si="16"/>
        <v/>
      </c>
      <c r="AP15" s="326" t="str">
        <f t="shared" si="17"/>
        <v/>
      </c>
      <c r="AQ15" s="326" t="str">
        <f>+IF(ISERROR(VLOOKUP(ghostSpreadsheet_CO2!H15,customConversionFactors, 4, FALSE)), "", VLOOKUP(ghostSpreadsheet_CO2!H15,customConversionFactors, 4, FALSE))</f>
        <v/>
      </c>
      <c r="AR15" s="326" t="str">
        <f t="shared" si="18"/>
        <v/>
      </c>
      <c r="AS15" s="326" t="str">
        <f t="shared" si="19"/>
        <v/>
      </c>
      <c r="AT15" s="326" t="str">
        <f t="shared" si="20"/>
        <v/>
      </c>
      <c r="AU15" s="326" t="str">
        <f t="shared" si="21"/>
        <v/>
      </c>
      <c r="AV15" s="326">
        <f t="shared" si="22"/>
        <v>0</v>
      </c>
      <c r="AW15" s="326">
        <f t="shared" si="23"/>
        <v>0</v>
      </c>
      <c r="AX15" s="326">
        <f t="shared" si="24"/>
        <v>0</v>
      </c>
      <c r="AY15" s="331">
        <f t="shared" ref="AY15:AY28" si="38">+AV15-AW15-AX15</f>
        <v>0</v>
      </c>
    </row>
    <row r="16" spans="3:52" ht="13.8" thickBot="1" x14ac:dyDescent="0.3">
      <c r="C16" s="330" t="str">
        <f>IF('3. Calculator'!B14=0, "", '3. Calculator'!B14)</f>
        <v/>
      </c>
      <c r="D16" s="326" t="str">
        <f>IF('3. Calculator'!D14=0, "", '3. Calculator'!D14)</f>
        <v/>
      </c>
      <c r="E16" s="326" t="str">
        <f>IF('3. Calculator'!E14=0, "", '3. Calculator'!E14)</f>
        <v/>
      </c>
      <c r="F16" s="326">
        <f>IF('3. Calculator'!L14="", 1, IF('3. Calculator'!L14="Not applicable", 1, IF('3. Calculator'!L14="Lower", 1, VLOOKUP('3. Calculator'!E14, HVConversionValues,2,FALSE))))</f>
        <v>1</v>
      </c>
      <c r="G16" s="326" t="str">
        <f>IF('3. Calculator'!H14=0, "", '3. Calculator'!H14)</f>
        <v/>
      </c>
      <c r="H16" s="331" t="str">
        <f>IF('3. Calculator'!I14=0, "", '3. Calculator'!I14)</f>
        <v/>
      </c>
      <c r="I16" s="498"/>
      <c r="J16" s="326" t="str">
        <f>IF(ISNA(VLOOKUP('3. Calculator'!E14, fuelInfo, 4, FALSE)),"", (VLOOKUP('3. Calculator'!E14, fuelInfo, 4, FALSE)))</f>
        <v/>
      </c>
      <c r="K16" s="326" t="str">
        <f>IF(ISNA(VLOOKUP('3. Calculator'!E14, fuelInfo, 4, FALSE)),"", (F16*VLOOKUP('3. Calculator'!E14, fuelInfo, 4, FALSE)))</f>
        <v/>
      </c>
      <c r="L16" s="326" t="str">
        <f>IF(ISNA(VLOOKUP('3. Calculator'!I14,unitStates,3,FALSE)), "", (VLOOKUP('3. Calculator'!I14,unitStates,3,FALSE)))</f>
        <v/>
      </c>
      <c r="M16" s="328" t="str">
        <f>IF(D16="My fuels", "", IF(L16=0, VLOOKUP('3. Calculator'!I14, energyEFs,3,FALSE),""))</f>
        <v/>
      </c>
      <c r="N16" s="427" t="str">
        <f t="shared" si="25"/>
        <v/>
      </c>
      <c r="O16" s="328" t="str">
        <f t="shared" si="26"/>
        <v/>
      </c>
      <c r="P16" s="328" t="str">
        <f t="shared" si="0"/>
        <v/>
      </c>
      <c r="Q16" s="328" t="str">
        <f t="shared" si="27"/>
        <v/>
      </c>
      <c r="R16" s="328" t="str">
        <f t="shared" si="28"/>
        <v/>
      </c>
      <c r="S16" s="326" t="str">
        <f>IF(D16="My fuels", "", IF(L16=1, VLOOKUP('3. Calculator'!I14, solidEFs,3,FALSE),""))</f>
        <v/>
      </c>
      <c r="T16" s="326" t="str">
        <f t="shared" si="29"/>
        <v/>
      </c>
      <c r="U16" s="326" t="str">
        <f t="shared" si="1"/>
        <v/>
      </c>
      <c r="V16" s="326" t="str">
        <f t="shared" si="2"/>
        <v/>
      </c>
      <c r="W16" s="326" t="str">
        <f t="shared" si="3"/>
        <v/>
      </c>
      <c r="X16" s="326" t="str">
        <f>IF(D16="My fuels","",(IF(L16=2,VLOOKUP('3. Calculator'!E14,liquidLiterEFs,2,FALSE),"")))</f>
        <v/>
      </c>
      <c r="Y16" s="326" t="str">
        <f>+IF(X16="", "", IF(ISNA(VLOOKUP('3. Calculator'!I14,unitStates,4, FALSE)), "", (VLOOKUP('3. Calculator'!I14,unitStates,4, FALSE))))</f>
        <v/>
      </c>
      <c r="Z16" s="326" t="str">
        <f t="shared" si="30"/>
        <v/>
      </c>
      <c r="AA16" s="326" t="str">
        <f t="shared" si="31"/>
        <v/>
      </c>
      <c r="AB16" s="326" t="str">
        <f t="shared" si="32"/>
        <v/>
      </c>
      <c r="AC16" s="326" t="str">
        <f t="shared" si="33"/>
        <v/>
      </c>
      <c r="AD16" s="326" t="str">
        <f t="shared" si="34"/>
        <v/>
      </c>
      <c r="AE16" s="326" t="str">
        <f t="shared" si="35"/>
        <v/>
      </c>
      <c r="AF16" s="326" t="str">
        <f t="shared" si="36"/>
        <v/>
      </c>
      <c r="AG16" s="326" t="str">
        <f>IF(D16="My fuels", "", IF(L16=3, VLOOKUP('3. Calculator'!E14, gasMeter3EFs,2,FALSE),""))</f>
        <v/>
      </c>
      <c r="AH16" s="326" t="str">
        <f>+IF(AG16="", "", IF(ISNA(VLOOKUP('3. Calculator'!I14,unitStates,5, FALSE)), "", (VLOOKUP('3. Calculator'!I14,unitStates,5, FALSE))))</f>
        <v/>
      </c>
      <c r="AI16" s="326" t="str">
        <f t="shared" si="10"/>
        <v/>
      </c>
      <c r="AJ16" s="326" t="str">
        <f t="shared" si="11"/>
        <v/>
      </c>
      <c r="AK16" s="326" t="str">
        <f t="shared" si="12"/>
        <v/>
      </c>
      <c r="AL16" s="326" t="str">
        <f t="shared" si="13"/>
        <v/>
      </c>
      <c r="AM16" s="326" t="str">
        <f t="shared" si="14"/>
        <v/>
      </c>
      <c r="AN16" s="326" t="str">
        <f t="shared" si="15"/>
        <v/>
      </c>
      <c r="AO16" s="326" t="str">
        <f t="shared" si="16"/>
        <v/>
      </c>
      <c r="AP16" s="326" t="str">
        <f t="shared" si="17"/>
        <v/>
      </c>
      <c r="AQ16" s="326" t="str">
        <f>+IF(ISERROR(VLOOKUP(ghostSpreadsheet_CO2!H16,customConversionFactors, 4, FALSE)), "", VLOOKUP(ghostSpreadsheet_CO2!H16,customConversionFactors, 4, FALSE))</f>
        <v/>
      </c>
      <c r="AR16" s="326" t="str">
        <f t="shared" si="18"/>
        <v/>
      </c>
      <c r="AS16" s="326" t="str">
        <f t="shared" si="19"/>
        <v/>
      </c>
      <c r="AT16" s="326" t="str">
        <f t="shared" si="20"/>
        <v/>
      </c>
      <c r="AU16" s="326" t="str">
        <f t="shared" si="21"/>
        <v/>
      </c>
      <c r="AV16" s="326">
        <f t="shared" si="22"/>
        <v>0</v>
      </c>
      <c r="AW16" s="326">
        <f t="shared" si="23"/>
        <v>0</v>
      </c>
      <c r="AX16" s="326">
        <f t="shared" si="24"/>
        <v>0</v>
      </c>
      <c r="AY16" s="331">
        <f t="shared" si="38"/>
        <v>0</v>
      </c>
    </row>
    <row r="17" spans="3:51" ht="13.8" thickBot="1" x14ac:dyDescent="0.3">
      <c r="C17" s="330" t="str">
        <f>IF('3. Calculator'!B15=0, "", '3. Calculator'!B15)</f>
        <v/>
      </c>
      <c r="D17" s="326" t="str">
        <f>IF('3. Calculator'!D15=0, "", '3. Calculator'!D15)</f>
        <v/>
      </c>
      <c r="E17" s="326" t="str">
        <f>IF('3. Calculator'!E15=0, "", '3. Calculator'!E15)</f>
        <v/>
      </c>
      <c r="F17" s="326">
        <f>IF('3. Calculator'!L15="", 1, IF('3. Calculator'!L15="Not applicable", 1, IF('3. Calculator'!L15="Lower", 1, VLOOKUP('3. Calculator'!E15, HVConversionValues,2,FALSE))))</f>
        <v>1</v>
      </c>
      <c r="G17" s="326" t="str">
        <f>IF('3. Calculator'!H15=0, "", '3. Calculator'!H15)</f>
        <v/>
      </c>
      <c r="H17" s="331" t="str">
        <f>IF('3. Calculator'!I15=0, "", '3. Calculator'!I15)</f>
        <v/>
      </c>
      <c r="I17" s="498" t="str">
        <f>IF(ISNA(VLOOKUP('3. Calculator'!E15,fuelInfo,3, FALSE)), "", (VLOOKUP('3. Calculator'!E15,fuelInfo,3, FALSE)))</f>
        <v/>
      </c>
      <c r="J17" s="326" t="str">
        <f>IF(ISNA(VLOOKUP('3. Calculator'!E15, fuelInfo, 4, FALSE)),"", (VLOOKUP('3. Calculator'!E15, fuelInfo, 4, FALSE)))</f>
        <v/>
      </c>
      <c r="K17" s="326" t="str">
        <f>IF(ISNA(VLOOKUP('3. Calculator'!E15, fuelInfo, 4, FALSE)),"", (F17*VLOOKUP('3. Calculator'!E15, fuelInfo, 4, FALSE)))</f>
        <v/>
      </c>
      <c r="L17" s="326" t="str">
        <f>IF(ISNA(VLOOKUP('3. Calculator'!I15,unitStates,3,FALSE)), "", (VLOOKUP('3. Calculator'!I15,unitStates,3,FALSE)))</f>
        <v/>
      </c>
      <c r="M17" s="328" t="str">
        <f>IF(D17="My fuels", "", IF(L17=0, VLOOKUP('3. Calculator'!I15, energyEFs,3,FALSE),""))</f>
        <v/>
      </c>
      <c r="N17" s="427" t="str">
        <f t="shared" si="25"/>
        <v/>
      </c>
      <c r="O17" s="328" t="str">
        <f t="shared" si="26"/>
        <v/>
      </c>
      <c r="P17" s="328" t="str">
        <f t="shared" si="0"/>
        <v/>
      </c>
      <c r="Q17" s="328" t="str">
        <f t="shared" si="27"/>
        <v/>
      </c>
      <c r="R17" s="328" t="str">
        <f t="shared" si="28"/>
        <v/>
      </c>
      <c r="S17" s="326" t="str">
        <f>IF(D17="My fuels", "", IF(L17=1, VLOOKUP('3. Calculator'!I15, solidEFs,3,FALSE),""))</f>
        <v/>
      </c>
      <c r="T17" s="326" t="str">
        <f t="shared" si="29"/>
        <v/>
      </c>
      <c r="U17" s="326" t="str">
        <f t="shared" si="1"/>
        <v/>
      </c>
      <c r="V17" s="326" t="str">
        <f t="shared" si="2"/>
        <v/>
      </c>
      <c r="W17" s="326" t="str">
        <f t="shared" si="3"/>
        <v/>
      </c>
      <c r="X17" s="326" t="str">
        <f>IF(D17="My fuels","",(IF(L17=2,VLOOKUP('3. Calculator'!E15,liquidLiterEFs,2,FALSE),"")))</f>
        <v/>
      </c>
      <c r="Y17" s="326" t="str">
        <f>+IF(X17="", "", IF(ISNA(VLOOKUP('3. Calculator'!I15,unitStates,4, FALSE)), "", (VLOOKUP('3. Calculator'!I15,unitStates,4, FALSE))))</f>
        <v/>
      </c>
      <c r="Z17" s="326" t="str">
        <f t="shared" si="30"/>
        <v/>
      </c>
      <c r="AA17" s="326" t="str">
        <f t="shared" si="31"/>
        <v/>
      </c>
      <c r="AB17" s="326" t="str">
        <f t="shared" si="32"/>
        <v/>
      </c>
      <c r="AC17" s="326" t="str">
        <f t="shared" si="33"/>
        <v/>
      </c>
      <c r="AD17" s="326" t="str">
        <f t="shared" si="34"/>
        <v/>
      </c>
      <c r="AE17" s="326" t="str">
        <f t="shared" si="35"/>
        <v/>
      </c>
      <c r="AF17" s="326" t="str">
        <f t="shared" si="36"/>
        <v/>
      </c>
      <c r="AG17" s="326" t="str">
        <f>IF(D17="My fuels", "", IF(L17=3, VLOOKUP('3. Calculator'!E15, gasMeter3EFs,2,FALSE),""))</f>
        <v/>
      </c>
      <c r="AH17" s="326" t="str">
        <f>+IF(AG17="", "", IF(ISNA(VLOOKUP('3. Calculator'!I15,unitStates,5, FALSE)), "", (VLOOKUP('3. Calculator'!I15,unitStates,5, FALSE))))</f>
        <v/>
      </c>
      <c r="AI17" s="326" t="str">
        <f t="shared" si="10"/>
        <v/>
      </c>
      <c r="AJ17" s="326" t="str">
        <f t="shared" si="11"/>
        <v/>
      </c>
      <c r="AK17" s="326" t="str">
        <f t="shared" si="12"/>
        <v/>
      </c>
      <c r="AL17" s="326" t="str">
        <f t="shared" si="13"/>
        <v/>
      </c>
      <c r="AM17" s="326" t="str">
        <f t="shared" si="14"/>
        <v/>
      </c>
      <c r="AN17" s="326" t="str">
        <f t="shared" si="15"/>
        <v/>
      </c>
      <c r="AO17" s="326" t="str">
        <f t="shared" si="16"/>
        <v/>
      </c>
      <c r="AP17" s="326" t="str">
        <f t="shared" si="17"/>
        <v/>
      </c>
      <c r="AQ17" s="326" t="str">
        <f>+IF(ISERROR(VLOOKUP(ghostSpreadsheet_CO2!H17,customConversionFactors, 4, FALSE)), "", VLOOKUP(ghostSpreadsheet_CO2!H17,customConversionFactors, 4, FALSE))</f>
        <v/>
      </c>
      <c r="AR17" s="326" t="str">
        <f t="shared" si="18"/>
        <v/>
      </c>
      <c r="AS17" s="326" t="str">
        <f t="shared" si="19"/>
        <v/>
      </c>
      <c r="AT17" s="326" t="str">
        <f t="shared" si="20"/>
        <v/>
      </c>
      <c r="AU17" s="326" t="str">
        <f t="shared" si="21"/>
        <v/>
      </c>
      <c r="AV17" s="326">
        <f t="shared" si="22"/>
        <v>0</v>
      </c>
      <c r="AW17" s="326">
        <f t="shared" si="23"/>
        <v>0</v>
      </c>
      <c r="AX17" s="326">
        <f t="shared" si="24"/>
        <v>0</v>
      </c>
      <c r="AY17" s="331">
        <f t="shared" si="38"/>
        <v>0</v>
      </c>
    </row>
    <row r="18" spans="3:51" ht="13.8" thickBot="1" x14ac:dyDescent="0.3">
      <c r="C18" s="330" t="str">
        <f>IF('3. Calculator'!B16=0, "", '3. Calculator'!B16)</f>
        <v/>
      </c>
      <c r="D18" s="326" t="str">
        <f>IF('3. Calculator'!D16=0, "", '3. Calculator'!D16)</f>
        <v/>
      </c>
      <c r="E18" s="326" t="str">
        <f>IF('3. Calculator'!E16=0, "", '3. Calculator'!E16)</f>
        <v/>
      </c>
      <c r="F18" s="326">
        <f>IF('3. Calculator'!L16="", 1, IF('3. Calculator'!L16="Not applicable", 1, IF('3. Calculator'!L16="Lower", 1, VLOOKUP('3. Calculator'!E16, HVConversionValues,2,FALSE))))</f>
        <v>1</v>
      </c>
      <c r="G18" s="326" t="str">
        <f>IF('3. Calculator'!H16=0, "", '3. Calculator'!H16)</f>
        <v/>
      </c>
      <c r="H18" s="331" t="str">
        <f>IF('3. Calculator'!I16=0, "", '3. Calculator'!I16)</f>
        <v/>
      </c>
      <c r="I18" s="498" t="str">
        <f>IF(ISNA(VLOOKUP('3. Calculator'!E16,fuelInfo,3, FALSE)), "", (VLOOKUP('3. Calculator'!E16,fuelInfo,3, FALSE)))</f>
        <v/>
      </c>
      <c r="J18" s="326" t="str">
        <f>IF(ISNA(VLOOKUP('3. Calculator'!E16, fuelInfo, 4, FALSE)),"", (VLOOKUP('3. Calculator'!E16, fuelInfo, 4, FALSE)))</f>
        <v/>
      </c>
      <c r="K18" s="326" t="str">
        <f>IF(ISNA(VLOOKUP('3. Calculator'!E16, fuelInfo, 4, FALSE)),"", (F18*VLOOKUP('3. Calculator'!E16, fuelInfo, 4, FALSE)))</f>
        <v/>
      </c>
      <c r="L18" s="326" t="str">
        <f>IF(ISNA(VLOOKUP('3. Calculator'!I16,unitStates,3,FALSE)), "", (VLOOKUP('3. Calculator'!I16,unitStates,3,FALSE)))</f>
        <v/>
      </c>
      <c r="M18" s="328" t="str">
        <f>IF(D18="My fuels", "", IF(L18=0, VLOOKUP('3. Calculator'!I16, energyEFs,3,FALSE),""))</f>
        <v/>
      </c>
      <c r="N18" s="427" t="str">
        <f t="shared" si="25"/>
        <v/>
      </c>
      <c r="O18" s="328" t="str">
        <f t="shared" si="26"/>
        <v/>
      </c>
      <c r="P18" s="328" t="str">
        <f t="shared" si="0"/>
        <v/>
      </c>
      <c r="Q18" s="328" t="str">
        <f t="shared" si="27"/>
        <v/>
      </c>
      <c r="R18" s="328" t="str">
        <f t="shared" si="28"/>
        <v/>
      </c>
      <c r="S18" s="326" t="str">
        <f>IF(D18="My fuels", "", IF(L18=1, VLOOKUP('3. Calculator'!I16, solidEFs,3,FALSE),""))</f>
        <v/>
      </c>
      <c r="T18" s="326" t="str">
        <f t="shared" si="29"/>
        <v/>
      </c>
      <c r="U18" s="326" t="str">
        <f t="shared" si="1"/>
        <v/>
      </c>
      <c r="V18" s="326" t="str">
        <f t="shared" si="2"/>
        <v/>
      </c>
      <c r="W18" s="326" t="str">
        <f t="shared" si="3"/>
        <v/>
      </c>
      <c r="X18" s="326" t="str">
        <f>IF(D18="My fuels","",(IF(L18=2,VLOOKUP('3. Calculator'!E16,liquidLiterEFs,2,FALSE),"")))</f>
        <v/>
      </c>
      <c r="Y18" s="326" t="str">
        <f>+IF(X18="", "", IF(ISNA(VLOOKUP('3. Calculator'!I16,unitStates,4, FALSE)), "", (VLOOKUP('3. Calculator'!I16,unitStates,4, FALSE))))</f>
        <v/>
      </c>
      <c r="Z18" s="326" t="str">
        <f t="shared" si="30"/>
        <v/>
      </c>
      <c r="AA18" s="326" t="str">
        <f t="shared" si="31"/>
        <v/>
      </c>
      <c r="AB18" s="326" t="str">
        <f t="shared" si="32"/>
        <v/>
      </c>
      <c r="AC18" s="326" t="str">
        <f t="shared" si="33"/>
        <v/>
      </c>
      <c r="AD18" s="326" t="str">
        <f t="shared" si="34"/>
        <v/>
      </c>
      <c r="AE18" s="326" t="str">
        <f t="shared" si="35"/>
        <v/>
      </c>
      <c r="AF18" s="326" t="str">
        <f t="shared" si="36"/>
        <v/>
      </c>
      <c r="AG18" s="326" t="str">
        <f>IF(D18="My fuels", "", IF(L18=3, VLOOKUP('3. Calculator'!E16, gasMeter3EFs,2,FALSE),""))</f>
        <v/>
      </c>
      <c r="AH18" s="326" t="str">
        <f>+IF(AG18="", "", IF(ISNA(VLOOKUP('3. Calculator'!I16,unitStates,5, FALSE)), "", (VLOOKUP('3. Calculator'!I16,unitStates,5, FALSE))))</f>
        <v/>
      </c>
      <c r="AI18" s="326" t="str">
        <f t="shared" si="10"/>
        <v/>
      </c>
      <c r="AJ18" s="326" t="str">
        <f t="shared" si="11"/>
        <v/>
      </c>
      <c r="AK18" s="326" t="str">
        <f t="shared" si="12"/>
        <v/>
      </c>
      <c r="AL18" s="326" t="str">
        <f t="shared" si="13"/>
        <v/>
      </c>
      <c r="AM18" s="326" t="str">
        <f t="shared" si="14"/>
        <v/>
      </c>
      <c r="AN18" s="326" t="str">
        <f t="shared" si="15"/>
        <v/>
      </c>
      <c r="AO18" s="326" t="str">
        <f t="shared" si="16"/>
        <v/>
      </c>
      <c r="AP18" s="326" t="str">
        <f t="shared" si="17"/>
        <v/>
      </c>
      <c r="AQ18" s="326" t="str">
        <f>+IF(ISERROR(VLOOKUP(ghostSpreadsheet_CO2!H18,customConversionFactors, 4, FALSE)), "", VLOOKUP(ghostSpreadsheet_CO2!H18,customConversionFactors, 4, FALSE))</f>
        <v/>
      </c>
      <c r="AR18" s="326" t="str">
        <f t="shared" si="18"/>
        <v/>
      </c>
      <c r="AS18" s="326" t="str">
        <f t="shared" si="19"/>
        <v/>
      </c>
      <c r="AT18" s="326" t="str">
        <f t="shared" si="20"/>
        <v/>
      </c>
      <c r="AU18" s="326" t="str">
        <f t="shared" si="21"/>
        <v/>
      </c>
      <c r="AV18" s="326">
        <f t="shared" si="22"/>
        <v>0</v>
      </c>
      <c r="AW18" s="326">
        <f t="shared" si="23"/>
        <v>0</v>
      </c>
      <c r="AX18" s="326">
        <f t="shared" si="24"/>
        <v>0</v>
      </c>
      <c r="AY18" s="331">
        <f t="shared" si="38"/>
        <v>0</v>
      </c>
    </row>
    <row r="19" spans="3:51" ht="13.8" thickBot="1" x14ac:dyDescent="0.3">
      <c r="C19" s="330" t="str">
        <f>IF('3. Calculator'!B17=0, "", '3. Calculator'!B17)</f>
        <v/>
      </c>
      <c r="D19" s="326" t="str">
        <f>IF('3. Calculator'!D17=0, "", '3. Calculator'!D17)</f>
        <v/>
      </c>
      <c r="E19" s="326" t="str">
        <f>IF('3. Calculator'!E17=0, "", '3. Calculator'!E17)</f>
        <v/>
      </c>
      <c r="F19" s="326">
        <f>IF('3. Calculator'!L17="", 1, IF('3. Calculator'!L17="Not applicable", 1, IF('3. Calculator'!L17="Lower", 1, VLOOKUP('3. Calculator'!E17, HVConversionValues,2,FALSE))))</f>
        <v>1</v>
      </c>
      <c r="G19" s="326" t="str">
        <f>IF('3. Calculator'!H17=0, "", '3. Calculator'!H17)</f>
        <v/>
      </c>
      <c r="H19" s="331" t="str">
        <f>IF('3. Calculator'!I17=0, "", '3. Calculator'!I17)</f>
        <v/>
      </c>
      <c r="I19" s="498" t="str">
        <f>IF(ISNA(VLOOKUP('3. Calculator'!E17,fuelInfo,3, FALSE)), "", (VLOOKUP('3. Calculator'!E17,fuelInfo,3, FALSE)))</f>
        <v/>
      </c>
      <c r="J19" s="326" t="str">
        <f>IF(ISNA(VLOOKUP('3. Calculator'!E17, fuelInfo, 4, FALSE)),"", (VLOOKUP('3. Calculator'!E17, fuelInfo, 4, FALSE)))</f>
        <v/>
      </c>
      <c r="K19" s="326" t="str">
        <f>IF(ISNA(VLOOKUP('3. Calculator'!E17, fuelInfo, 4, FALSE)),"", (F19*VLOOKUP('3. Calculator'!E17, fuelInfo, 4, FALSE)))</f>
        <v/>
      </c>
      <c r="L19" s="326" t="str">
        <f>IF(ISNA(VLOOKUP('3. Calculator'!I17,unitStates,3,FALSE)), "", (VLOOKUP('3. Calculator'!I17,unitStates,3,FALSE)))</f>
        <v/>
      </c>
      <c r="M19" s="328" t="str">
        <f>IF(D19="My fuels", "", IF(L19=0, VLOOKUP('3. Calculator'!I17, energyEFs,3,FALSE),""))</f>
        <v/>
      </c>
      <c r="N19" s="427" t="str">
        <f t="shared" si="25"/>
        <v/>
      </c>
      <c r="O19" s="328" t="str">
        <f t="shared" si="26"/>
        <v/>
      </c>
      <c r="P19" s="328" t="str">
        <f t="shared" si="0"/>
        <v/>
      </c>
      <c r="Q19" s="328" t="str">
        <f t="shared" si="27"/>
        <v/>
      </c>
      <c r="R19" s="328" t="str">
        <f t="shared" si="28"/>
        <v/>
      </c>
      <c r="S19" s="326" t="str">
        <f>IF(D19="My fuels", "", IF(L19=1, VLOOKUP('3. Calculator'!I17, solidEFs,3,FALSE),""))</f>
        <v/>
      </c>
      <c r="T19" s="326" t="str">
        <f t="shared" si="29"/>
        <v/>
      </c>
      <c r="U19" s="326" t="str">
        <f t="shared" si="1"/>
        <v/>
      </c>
      <c r="V19" s="326" t="str">
        <f t="shared" si="2"/>
        <v/>
      </c>
      <c r="W19" s="326" t="str">
        <f t="shared" si="3"/>
        <v/>
      </c>
      <c r="X19" s="326" t="str">
        <f>IF(D19="My fuels","",(IF(L19=2,VLOOKUP('3. Calculator'!E17,liquidLiterEFs,2,FALSE),"")))</f>
        <v/>
      </c>
      <c r="Y19" s="326" t="str">
        <f>+IF(X19="", "", IF(ISNA(VLOOKUP('3. Calculator'!I17,unitStates,4, FALSE)), "", (VLOOKUP('3. Calculator'!I17,unitStates,4, FALSE))))</f>
        <v/>
      </c>
      <c r="Z19" s="326" t="str">
        <f t="shared" si="30"/>
        <v/>
      </c>
      <c r="AA19" s="326" t="str">
        <f t="shared" si="31"/>
        <v/>
      </c>
      <c r="AB19" s="326" t="str">
        <f t="shared" si="32"/>
        <v/>
      </c>
      <c r="AC19" s="326" t="str">
        <f t="shared" si="33"/>
        <v/>
      </c>
      <c r="AD19" s="326" t="str">
        <f t="shared" si="34"/>
        <v/>
      </c>
      <c r="AE19" s="326" t="str">
        <f t="shared" si="35"/>
        <v/>
      </c>
      <c r="AF19" s="326" t="str">
        <f t="shared" si="36"/>
        <v/>
      </c>
      <c r="AG19" s="326" t="str">
        <f>IF(D19="My fuels", "", IF(L19=3, VLOOKUP('3. Calculator'!E17, gasMeter3EFs,2,FALSE),""))</f>
        <v/>
      </c>
      <c r="AH19" s="326" t="str">
        <f>+IF(AG19="", "", IF(ISNA(VLOOKUP('3. Calculator'!I17,unitStates,5, FALSE)), "", (VLOOKUP('3. Calculator'!I17,unitStates,5, FALSE))))</f>
        <v/>
      </c>
      <c r="AI19" s="326" t="str">
        <f t="shared" si="10"/>
        <v/>
      </c>
      <c r="AJ19" s="326" t="str">
        <f t="shared" si="11"/>
        <v/>
      </c>
      <c r="AK19" s="326" t="str">
        <f t="shared" si="12"/>
        <v/>
      </c>
      <c r="AL19" s="326" t="str">
        <f t="shared" si="13"/>
        <v/>
      </c>
      <c r="AM19" s="326" t="str">
        <f t="shared" si="14"/>
        <v/>
      </c>
      <c r="AN19" s="326" t="str">
        <f t="shared" si="15"/>
        <v/>
      </c>
      <c r="AO19" s="326" t="str">
        <f t="shared" si="16"/>
        <v/>
      </c>
      <c r="AP19" s="326" t="str">
        <f t="shared" si="17"/>
        <v/>
      </c>
      <c r="AQ19" s="326" t="str">
        <f>+IF(ISERROR(VLOOKUP(ghostSpreadsheet_CO2!H19,customConversionFactors, 4, FALSE)), "", VLOOKUP(ghostSpreadsheet_CO2!H19,customConversionFactors, 4, FALSE))</f>
        <v/>
      </c>
      <c r="AR19" s="326" t="str">
        <f t="shared" si="18"/>
        <v/>
      </c>
      <c r="AS19" s="326" t="str">
        <f t="shared" si="19"/>
        <v/>
      </c>
      <c r="AT19" s="326" t="str">
        <f t="shared" si="20"/>
        <v/>
      </c>
      <c r="AU19" s="326" t="str">
        <f t="shared" si="21"/>
        <v/>
      </c>
      <c r="AV19" s="326">
        <f t="shared" si="22"/>
        <v>0</v>
      </c>
      <c r="AW19" s="326">
        <f t="shared" si="23"/>
        <v>0</v>
      </c>
      <c r="AX19" s="326">
        <f t="shared" si="24"/>
        <v>0</v>
      </c>
      <c r="AY19" s="331">
        <f t="shared" si="38"/>
        <v>0</v>
      </c>
    </row>
    <row r="20" spans="3:51" ht="13.8" thickBot="1" x14ac:dyDescent="0.3">
      <c r="C20" s="330" t="str">
        <f>IF('3. Calculator'!B18=0, "", '3. Calculator'!B18)</f>
        <v/>
      </c>
      <c r="D20" s="326" t="str">
        <f>IF('3. Calculator'!D18=0, "", '3. Calculator'!D18)</f>
        <v/>
      </c>
      <c r="E20" s="326" t="str">
        <f>IF('3. Calculator'!E18=0, "", '3. Calculator'!E18)</f>
        <v/>
      </c>
      <c r="F20" s="326">
        <f>IF('3. Calculator'!L18="", 1, IF('3. Calculator'!L18="Not applicable", 1, IF('3. Calculator'!L18="Lower", 1, VLOOKUP('3. Calculator'!E18, HVConversionValues,2,FALSE))))</f>
        <v>1</v>
      </c>
      <c r="G20" s="326" t="str">
        <f>IF('3. Calculator'!H18=0, "", '3. Calculator'!H18)</f>
        <v/>
      </c>
      <c r="H20" s="331" t="str">
        <f>IF('3. Calculator'!I18=0, "", '3. Calculator'!I18)</f>
        <v/>
      </c>
      <c r="I20" s="498" t="str">
        <f>IF(ISNA(VLOOKUP('3. Calculator'!E18,fuelInfo,3, FALSE)), "", (VLOOKUP('3. Calculator'!E18,fuelInfo,3, FALSE)))</f>
        <v/>
      </c>
      <c r="J20" s="326" t="str">
        <f>IF(ISNA(VLOOKUP('3. Calculator'!E18, fuelInfo, 4, FALSE)),"", (VLOOKUP('3. Calculator'!E18, fuelInfo, 4, FALSE)))</f>
        <v/>
      </c>
      <c r="K20" s="326" t="str">
        <f>IF(ISNA(VLOOKUP('3. Calculator'!E18, fuelInfo, 4, FALSE)),"", (F20*VLOOKUP('3. Calculator'!E18, fuelInfo, 4, FALSE)))</f>
        <v/>
      </c>
      <c r="L20" s="326" t="str">
        <f>IF(ISNA(VLOOKUP('3. Calculator'!I18,unitStates,3,FALSE)), "", (VLOOKUP('3. Calculator'!I18,unitStates,3,FALSE)))</f>
        <v/>
      </c>
      <c r="M20" s="328" t="str">
        <f>IF(D20="My fuels", "", IF(L20=0, VLOOKUP('3. Calculator'!I18, energyEFs,3,FALSE),""))</f>
        <v/>
      </c>
      <c r="N20" s="427" t="str">
        <f t="shared" si="25"/>
        <v/>
      </c>
      <c r="O20" s="328" t="str">
        <f t="shared" si="26"/>
        <v/>
      </c>
      <c r="P20" s="328" t="str">
        <f t="shared" si="0"/>
        <v/>
      </c>
      <c r="Q20" s="328" t="str">
        <f t="shared" si="27"/>
        <v/>
      </c>
      <c r="R20" s="328" t="str">
        <f t="shared" si="28"/>
        <v/>
      </c>
      <c r="S20" s="326" t="str">
        <f>IF(D20="My fuels", "", IF(L20=1, VLOOKUP('3. Calculator'!I18, solidEFs,3,FALSE),""))</f>
        <v/>
      </c>
      <c r="T20" s="326" t="str">
        <f t="shared" si="29"/>
        <v/>
      </c>
      <c r="U20" s="326" t="str">
        <f t="shared" si="1"/>
        <v/>
      </c>
      <c r="V20" s="326" t="str">
        <f t="shared" si="2"/>
        <v/>
      </c>
      <c r="W20" s="326" t="str">
        <f t="shared" si="3"/>
        <v/>
      </c>
      <c r="X20" s="326" t="str">
        <f>IF(D20="My fuels","",(IF(L20=2,VLOOKUP('3. Calculator'!E18,liquidLiterEFs,2,FALSE),"")))</f>
        <v/>
      </c>
      <c r="Y20" s="326" t="str">
        <f>+IF(X20="", "", IF(ISNA(VLOOKUP('3. Calculator'!I18,unitStates,4, FALSE)), "", (VLOOKUP('3. Calculator'!I18,unitStates,4, FALSE))))</f>
        <v/>
      </c>
      <c r="Z20" s="326" t="str">
        <f t="shared" si="30"/>
        <v/>
      </c>
      <c r="AA20" s="326" t="str">
        <f t="shared" si="31"/>
        <v/>
      </c>
      <c r="AB20" s="326" t="str">
        <f t="shared" si="32"/>
        <v/>
      </c>
      <c r="AC20" s="326" t="str">
        <f t="shared" si="33"/>
        <v/>
      </c>
      <c r="AD20" s="326" t="str">
        <f t="shared" si="34"/>
        <v/>
      </c>
      <c r="AE20" s="326" t="str">
        <f t="shared" si="35"/>
        <v/>
      </c>
      <c r="AF20" s="326" t="str">
        <f t="shared" si="36"/>
        <v/>
      </c>
      <c r="AG20" s="326" t="str">
        <f>IF(D20="My fuels", "", IF(L20=3, VLOOKUP('3. Calculator'!E18, gasMeter3EFs,2,FALSE),""))</f>
        <v/>
      </c>
      <c r="AH20" s="326" t="str">
        <f>+IF(AG20="", "", IF(ISNA(VLOOKUP('3. Calculator'!I18,unitStates,5, FALSE)), "", (VLOOKUP('3. Calculator'!I18,unitStates,5, FALSE))))</f>
        <v/>
      </c>
      <c r="AI20" s="326" t="str">
        <f t="shared" si="10"/>
        <v/>
      </c>
      <c r="AJ20" s="326" t="str">
        <f t="shared" si="11"/>
        <v/>
      </c>
      <c r="AK20" s="326" t="str">
        <f t="shared" si="12"/>
        <v/>
      </c>
      <c r="AL20" s="326" t="str">
        <f t="shared" si="13"/>
        <v/>
      </c>
      <c r="AM20" s="326" t="str">
        <f t="shared" si="14"/>
        <v/>
      </c>
      <c r="AN20" s="326" t="str">
        <f t="shared" si="15"/>
        <v/>
      </c>
      <c r="AO20" s="326" t="str">
        <f t="shared" si="16"/>
        <v/>
      </c>
      <c r="AP20" s="326" t="str">
        <f t="shared" si="17"/>
        <v/>
      </c>
      <c r="AQ20" s="326" t="str">
        <f>+IF(ISERROR(VLOOKUP(ghostSpreadsheet_CO2!H20,customConversionFactors, 4, FALSE)), "", VLOOKUP(ghostSpreadsheet_CO2!H20,customConversionFactors, 4, FALSE))</f>
        <v/>
      </c>
      <c r="AR20" s="326" t="str">
        <f t="shared" si="18"/>
        <v/>
      </c>
      <c r="AS20" s="326" t="str">
        <f t="shared" si="19"/>
        <v/>
      </c>
      <c r="AT20" s="326" t="str">
        <f t="shared" si="20"/>
        <v/>
      </c>
      <c r="AU20" s="326" t="str">
        <f t="shared" si="21"/>
        <v/>
      </c>
      <c r="AV20" s="326">
        <f t="shared" si="22"/>
        <v>0</v>
      </c>
      <c r="AW20" s="326">
        <f t="shared" si="23"/>
        <v>0</v>
      </c>
      <c r="AX20" s="326">
        <f t="shared" si="24"/>
        <v>0</v>
      </c>
      <c r="AY20" s="331">
        <f t="shared" si="38"/>
        <v>0</v>
      </c>
    </row>
    <row r="21" spans="3:51" ht="13.8" thickBot="1" x14ac:dyDescent="0.3">
      <c r="C21" s="330" t="str">
        <f>IF('3. Calculator'!B19=0, "", '3. Calculator'!B19)</f>
        <v/>
      </c>
      <c r="D21" s="326" t="str">
        <f>IF('3. Calculator'!D19=0, "", '3. Calculator'!D19)</f>
        <v/>
      </c>
      <c r="E21" s="326" t="str">
        <f>IF('3. Calculator'!E19=0, "", '3. Calculator'!E19)</f>
        <v/>
      </c>
      <c r="F21" s="326">
        <f>IF('3. Calculator'!L19="", 1, IF('3. Calculator'!L19="Not applicable", 1, IF('3. Calculator'!L19="Lower", 1, VLOOKUP('3. Calculator'!E19, HVConversionValues,2,FALSE))))</f>
        <v>1</v>
      </c>
      <c r="G21" s="326" t="str">
        <f>IF('3. Calculator'!H19=0, "", '3. Calculator'!H19)</f>
        <v/>
      </c>
      <c r="H21" s="331" t="str">
        <f>IF('3. Calculator'!I19=0, "", '3. Calculator'!I19)</f>
        <v/>
      </c>
      <c r="I21" s="498" t="str">
        <f>IF(ISNA(VLOOKUP('3. Calculator'!E19,fuelInfo,3, FALSE)), "", (VLOOKUP('3. Calculator'!E19,fuelInfo,3, FALSE)))</f>
        <v/>
      </c>
      <c r="J21" s="326" t="str">
        <f>IF(ISNA(VLOOKUP('3. Calculator'!E19, fuelInfo, 4, FALSE)),"", (VLOOKUP('3. Calculator'!E19, fuelInfo, 4, FALSE)))</f>
        <v/>
      </c>
      <c r="K21" s="326" t="str">
        <f>IF(ISNA(VLOOKUP('3. Calculator'!E19, fuelInfo, 4, FALSE)),"", (F21*VLOOKUP('3. Calculator'!E19, fuelInfo, 4, FALSE)))</f>
        <v/>
      </c>
      <c r="L21" s="326" t="str">
        <f>IF(ISNA(VLOOKUP('3. Calculator'!I19,unitStates,3,FALSE)), "", (VLOOKUP('3. Calculator'!I19,unitStates,3,FALSE)))</f>
        <v/>
      </c>
      <c r="M21" s="328" t="str">
        <f>IF(D21="My fuels", "", IF(L21=0, VLOOKUP('3. Calculator'!I19, energyEFs,3,FALSE),""))</f>
        <v/>
      </c>
      <c r="N21" s="427" t="str">
        <f t="shared" si="25"/>
        <v/>
      </c>
      <c r="O21" s="328" t="str">
        <f t="shared" si="26"/>
        <v/>
      </c>
      <c r="P21" s="328" t="str">
        <f t="shared" si="0"/>
        <v/>
      </c>
      <c r="Q21" s="328" t="str">
        <f t="shared" si="27"/>
        <v/>
      </c>
      <c r="R21" s="328" t="str">
        <f t="shared" si="28"/>
        <v/>
      </c>
      <c r="S21" s="326" t="str">
        <f>IF(D21="My fuels", "", IF(L21=1, VLOOKUP('3. Calculator'!I19, solidEFs,3,FALSE),""))</f>
        <v/>
      </c>
      <c r="T21" s="326" t="str">
        <f t="shared" si="29"/>
        <v/>
      </c>
      <c r="U21" s="326" t="str">
        <f t="shared" si="1"/>
        <v/>
      </c>
      <c r="V21" s="326" t="str">
        <f t="shared" si="2"/>
        <v/>
      </c>
      <c r="W21" s="326" t="str">
        <f t="shared" si="3"/>
        <v/>
      </c>
      <c r="X21" s="326" t="str">
        <f>IF(D21="My fuels","",(IF(L21=2,VLOOKUP('3. Calculator'!E19,liquidLiterEFs,2,FALSE),"")))</f>
        <v/>
      </c>
      <c r="Y21" s="326" t="str">
        <f>+IF(X21="", "", IF(ISNA(VLOOKUP('3. Calculator'!I19,unitStates,4, FALSE)), "", (VLOOKUP('3. Calculator'!I19,unitStates,4, FALSE))))</f>
        <v/>
      </c>
      <c r="Z21" s="326" t="str">
        <f t="shared" si="30"/>
        <v/>
      </c>
      <c r="AA21" s="326" t="str">
        <f t="shared" si="31"/>
        <v/>
      </c>
      <c r="AB21" s="326" t="str">
        <f t="shared" si="32"/>
        <v/>
      </c>
      <c r="AC21" s="326" t="str">
        <f t="shared" si="33"/>
        <v/>
      </c>
      <c r="AD21" s="326" t="str">
        <f t="shared" si="34"/>
        <v/>
      </c>
      <c r="AE21" s="326" t="str">
        <f t="shared" si="35"/>
        <v/>
      </c>
      <c r="AF21" s="326" t="str">
        <f t="shared" si="36"/>
        <v/>
      </c>
      <c r="AG21" s="326" t="str">
        <f>IF(D21="My fuels", "", IF(L21=3, VLOOKUP('3. Calculator'!E19, gasMeter3EFs,2,FALSE),""))</f>
        <v/>
      </c>
      <c r="AH21" s="326" t="str">
        <f>+IF(AG21="", "", IF(ISNA(VLOOKUP('3. Calculator'!I19,unitStates,5, FALSE)), "", (VLOOKUP('3. Calculator'!I19,unitStates,5, FALSE))))</f>
        <v/>
      </c>
      <c r="AI21" s="326" t="str">
        <f t="shared" si="10"/>
        <v/>
      </c>
      <c r="AJ21" s="326" t="str">
        <f t="shared" si="11"/>
        <v/>
      </c>
      <c r="AK21" s="326" t="str">
        <f t="shared" si="12"/>
        <v/>
      </c>
      <c r="AL21" s="326" t="str">
        <f t="shared" si="13"/>
        <v/>
      </c>
      <c r="AM21" s="326" t="str">
        <f t="shared" si="14"/>
        <v/>
      </c>
      <c r="AN21" s="326" t="str">
        <f t="shared" si="15"/>
        <v/>
      </c>
      <c r="AO21" s="326" t="str">
        <f t="shared" si="16"/>
        <v/>
      </c>
      <c r="AP21" s="326" t="str">
        <f t="shared" si="17"/>
        <v/>
      </c>
      <c r="AQ21" s="326" t="str">
        <f>+IF(ISERROR(VLOOKUP(ghostSpreadsheet_CO2!H21,customConversionFactors, 4, FALSE)), "", VLOOKUP(ghostSpreadsheet_CO2!H21,customConversionFactors, 4, FALSE))</f>
        <v/>
      </c>
      <c r="AR21" s="326" t="str">
        <f t="shared" si="18"/>
        <v/>
      </c>
      <c r="AS21" s="326" t="str">
        <f t="shared" si="19"/>
        <v/>
      </c>
      <c r="AT21" s="326" t="str">
        <f t="shared" si="20"/>
        <v/>
      </c>
      <c r="AU21" s="326" t="str">
        <f t="shared" si="21"/>
        <v/>
      </c>
      <c r="AV21" s="326">
        <f t="shared" si="22"/>
        <v>0</v>
      </c>
      <c r="AW21" s="326">
        <f t="shared" si="23"/>
        <v>0</v>
      </c>
      <c r="AX21" s="326">
        <f t="shared" si="24"/>
        <v>0</v>
      </c>
      <c r="AY21" s="331">
        <f t="shared" si="38"/>
        <v>0</v>
      </c>
    </row>
    <row r="22" spans="3:51" ht="13.8" thickBot="1" x14ac:dyDescent="0.3">
      <c r="C22" s="330" t="str">
        <f>IF('3. Calculator'!B20=0, "", '3. Calculator'!B20)</f>
        <v/>
      </c>
      <c r="D22" s="326" t="str">
        <f>IF('3. Calculator'!D20=0, "", '3. Calculator'!D20)</f>
        <v/>
      </c>
      <c r="E22" s="326" t="str">
        <f>IF('3. Calculator'!E20=0, "", '3. Calculator'!E20)</f>
        <v/>
      </c>
      <c r="F22" s="326">
        <f>IF('3. Calculator'!L20="", 1, IF('3. Calculator'!L20="Not applicable", 1, IF('3. Calculator'!L20="Lower", 1, VLOOKUP('3. Calculator'!E20, HVConversionValues,2,FALSE))))</f>
        <v>1</v>
      </c>
      <c r="G22" s="326" t="str">
        <f>IF('3. Calculator'!H20=0, "", '3. Calculator'!H20)</f>
        <v/>
      </c>
      <c r="H22" s="331" t="str">
        <f>IF('3. Calculator'!I20=0, "", '3. Calculator'!I20)</f>
        <v/>
      </c>
      <c r="I22" s="498" t="str">
        <f>IF(ISNA(VLOOKUP('3. Calculator'!E20,fuelInfo,3, FALSE)), "", (VLOOKUP('3. Calculator'!E20,fuelInfo,3, FALSE)))</f>
        <v/>
      </c>
      <c r="J22" s="326" t="str">
        <f>IF(ISNA(VLOOKUP('3. Calculator'!E20, fuelInfo, 4, FALSE)),"", (VLOOKUP('3. Calculator'!E20, fuelInfo, 4, FALSE)))</f>
        <v/>
      </c>
      <c r="K22" s="326" t="str">
        <f>IF(ISNA(VLOOKUP('3. Calculator'!E20, fuelInfo, 4, FALSE)),"", (F22*VLOOKUP('3. Calculator'!E20, fuelInfo, 4, FALSE)))</f>
        <v/>
      </c>
      <c r="L22" s="326" t="str">
        <f>IF(ISNA(VLOOKUP('3. Calculator'!I20,unitStates,3,FALSE)), "", (VLOOKUP('3. Calculator'!I20,unitStates,3,FALSE)))</f>
        <v/>
      </c>
      <c r="M22" s="328" t="str">
        <f>IF(D22="My fuels", "", IF(L22=0, VLOOKUP('3. Calculator'!I20, energyEFs,3,FALSE),""))</f>
        <v/>
      </c>
      <c r="N22" s="427" t="str">
        <f t="shared" si="25"/>
        <v/>
      </c>
      <c r="O22" s="328" t="str">
        <f t="shared" si="26"/>
        <v/>
      </c>
      <c r="P22" s="328" t="str">
        <f t="shared" si="0"/>
        <v/>
      </c>
      <c r="Q22" s="328" t="str">
        <f t="shared" si="27"/>
        <v/>
      </c>
      <c r="R22" s="328" t="str">
        <f t="shared" si="28"/>
        <v/>
      </c>
      <c r="S22" s="326" t="str">
        <f>IF(D22="My fuels", "", IF(L22=1, VLOOKUP('3. Calculator'!I20, solidEFs,3,FALSE),""))</f>
        <v/>
      </c>
      <c r="T22" s="326" t="str">
        <f t="shared" si="29"/>
        <v/>
      </c>
      <c r="U22" s="326" t="str">
        <f t="shared" si="1"/>
        <v/>
      </c>
      <c r="V22" s="326" t="str">
        <f t="shared" si="2"/>
        <v/>
      </c>
      <c r="W22" s="326" t="str">
        <f t="shared" si="3"/>
        <v/>
      </c>
      <c r="X22" s="326" t="str">
        <f>IF(D22="My fuels","",(IF(L22=2,VLOOKUP('3. Calculator'!E20,liquidLiterEFs,2,FALSE),"")))</f>
        <v/>
      </c>
      <c r="Y22" s="326" t="str">
        <f>+IF(X22="", "", IF(ISNA(VLOOKUP('3. Calculator'!I20,unitStates,4, FALSE)), "", (VLOOKUP('3. Calculator'!I20,unitStates,4, FALSE))))</f>
        <v/>
      </c>
      <c r="Z22" s="326" t="str">
        <f t="shared" si="30"/>
        <v/>
      </c>
      <c r="AA22" s="326" t="str">
        <f t="shared" si="31"/>
        <v/>
      </c>
      <c r="AB22" s="326" t="str">
        <f t="shared" si="32"/>
        <v/>
      </c>
      <c r="AC22" s="326" t="str">
        <f t="shared" si="33"/>
        <v/>
      </c>
      <c r="AD22" s="326" t="str">
        <f t="shared" si="34"/>
        <v/>
      </c>
      <c r="AE22" s="326" t="str">
        <f t="shared" si="35"/>
        <v/>
      </c>
      <c r="AF22" s="326" t="str">
        <f t="shared" si="36"/>
        <v/>
      </c>
      <c r="AG22" s="326" t="str">
        <f>IF(D22="My fuels", "", IF(L22=3, VLOOKUP('3. Calculator'!E20, gasMeter3EFs,2,FALSE),""))</f>
        <v/>
      </c>
      <c r="AH22" s="326" t="str">
        <f>+IF(AG22="", "", IF(ISNA(VLOOKUP('3. Calculator'!I20,unitStates,5, FALSE)), "", (VLOOKUP('3. Calculator'!I20,unitStates,5, FALSE))))</f>
        <v/>
      </c>
      <c r="AI22" s="326" t="str">
        <f t="shared" si="10"/>
        <v/>
      </c>
      <c r="AJ22" s="326" t="str">
        <f t="shared" si="11"/>
        <v/>
      </c>
      <c r="AK22" s="326" t="str">
        <f t="shared" si="12"/>
        <v/>
      </c>
      <c r="AL22" s="326" t="str">
        <f t="shared" si="13"/>
        <v/>
      </c>
      <c r="AM22" s="326" t="str">
        <f t="shared" si="14"/>
        <v/>
      </c>
      <c r="AN22" s="326" t="str">
        <f t="shared" si="15"/>
        <v/>
      </c>
      <c r="AO22" s="326" t="str">
        <f t="shared" si="16"/>
        <v/>
      </c>
      <c r="AP22" s="326" t="str">
        <f t="shared" si="17"/>
        <v/>
      </c>
      <c r="AQ22" s="326" t="str">
        <f>+IF(ISERROR(VLOOKUP(ghostSpreadsheet_CO2!H22,customConversionFactors, 4, FALSE)), "", VLOOKUP(ghostSpreadsheet_CO2!H22,customConversionFactors, 4, FALSE))</f>
        <v/>
      </c>
      <c r="AR22" s="326" t="str">
        <f t="shared" si="18"/>
        <v/>
      </c>
      <c r="AS22" s="326" t="str">
        <f t="shared" si="19"/>
        <v/>
      </c>
      <c r="AT22" s="326" t="str">
        <f t="shared" si="20"/>
        <v/>
      </c>
      <c r="AU22" s="326" t="str">
        <f t="shared" si="21"/>
        <v/>
      </c>
      <c r="AV22" s="326">
        <f t="shared" si="22"/>
        <v>0</v>
      </c>
      <c r="AW22" s="326">
        <f t="shared" si="23"/>
        <v>0</v>
      </c>
      <c r="AX22" s="326">
        <f t="shared" si="24"/>
        <v>0</v>
      </c>
      <c r="AY22" s="331">
        <f t="shared" si="38"/>
        <v>0</v>
      </c>
    </row>
    <row r="23" spans="3:51" ht="13.8" thickBot="1" x14ac:dyDescent="0.3">
      <c r="C23" s="330" t="str">
        <f>IF('3. Calculator'!B21=0, "", '3. Calculator'!B21)</f>
        <v/>
      </c>
      <c r="D23" s="326" t="str">
        <f>IF('3. Calculator'!D21=0, "", '3. Calculator'!D21)</f>
        <v/>
      </c>
      <c r="E23" s="326" t="str">
        <f>IF('3. Calculator'!E21=0, "", '3. Calculator'!E21)</f>
        <v/>
      </c>
      <c r="F23" s="326">
        <f>IF('3. Calculator'!L21="", 1, IF('3. Calculator'!L21="Not applicable", 1, IF('3. Calculator'!L21="Lower", 1, VLOOKUP('3. Calculator'!E21, HVConversionValues,2,FALSE))))</f>
        <v>1</v>
      </c>
      <c r="G23" s="326" t="str">
        <f>IF('3. Calculator'!H21=0, "", '3. Calculator'!H21)</f>
        <v/>
      </c>
      <c r="H23" s="331" t="str">
        <f>IF('3. Calculator'!I21=0, "", '3. Calculator'!I21)</f>
        <v/>
      </c>
      <c r="I23" s="498" t="str">
        <f>IF(ISNA(VLOOKUP('3. Calculator'!E21,fuelInfo,3, FALSE)), "", (VLOOKUP('3. Calculator'!E21,fuelInfo,3, FALSE)))</f>
        <v/>
      </c>
      <c r="J23" s="326" t="str">
        <f>IF(ISNA(VLOOKUP('3. Calculator'!E21, fuelInfo, 4, FALSE)),"", (VLOOKUP('3. Calculator'!E21, fuelInfo, 4, FALSE)))</f>
        <v/>
      </c>
      <c r="K23" s="326" t="str">
        <f>IF(ISNA(VLOOKUP('3. Calculator'!E21, fuelInfo, 4, FALSE)),"", (F23*VLOOKUP('3. Calculator'!E21, fuelInfo, 4, FALSE)))</f>
        <v/>
      </c>
      <c r="L23" s="326" t="str">
        <f>IF(ISNA(VLOOKUP('3. Calculator'!I21,unitStates,3,FALSE)), "", (VLOOKUP('3. Calculator'!I21,unitStates,3,FALSE)))</f>
        <v/>
      </c>
      <c r="M23" s="328" t="str">
        <f>IF(D23="My fuels", "", IF(L23=0, VLOOKUP('3. Calculator'!I21, energyEFs,3,FALSE),""))</f>
        <v/>
      </c>
      <c r="N23" s="427" t="str">
        <f t="shared" si="25"/>
        <v/>
      </c>
      <c r="O23" s="328" t="str">
        <f t="shared" si="26"/>
        <v/>
      </c>
      <c r="P23" s="328" t="str">
        <f t="shared" si="0"/>
        <v/>
      </c>
      <c r="Q23" s="328" t="str">
        <f t="shared" si="27"/>
        <v/>
      </c>
      <c r="R23" s="328" t="str">
        <f t="shared" si="28"/>
        <v/>
      </c>
      <c r="S23" s="326" t="str">
        <f>IF(D23="My fuels", "", IF(L23=1, VLOOKUP('3. Calculator'!I21, solidEFs,3,FALSE),""))</f>
        <v/>
      </c>
      <c r="T23" s="326" t="str">
        <f t="shared" si="29"/>
        <v/>
      </c>
      <c r="U23" s="326" t="str">
        <f t="shared" si="1"/>
        <v/>
      </c>
      <c r="V23" s="326" t="str">
        <f t="shared" si="2"/>
        <v/>
      </c>
      <c r="W23" s="326" t="str">
        <f t="shared" si="3"/>
        <v/>
      </c>
      <c r="X23" s="326" t="str">
        <f>IF(D23="My fuels","",(IF(L23=2,VLOOKUP('3. Calculator'!E21,liquidLiterEFs,2,FALSE),"")))</f>
        <v/>
      </c>
      <c r="Y23" s="326" t="str">
        <f>+IF(X23="", "", IF(ISNA(VLOOKUP('3. Calculator'!I21,unitStates,4, FALSE)), "", (VLOOKUP('3. Calculator'!I21,unitStates,4, FALSE))))</f>
        <v/>
      </c>
      <c r="Z23" s="326" t="str">
        <f t="shared" si="30"/>
        <v/>
      </c>
      <c r="AA23" s="326" t="str">
        <f t="shared" si="31"/>
        <v/>
      </c>
      <c r="AB23" s="326" t="str">
        <f t="shared" si="32"/>
        <v/>
      </c>
      <c r="AC23" s="326" t="str">
        <f t="shared" si="33"/>
        <v/>
      </c>
      <c r="AD23" s="326" t="str">
        <f t="shared" si="34"/>
        <v/>
      </c>
      <c r="AE23" s="326" t="str">
        <f t="shared" si="35"/>
        <v/>
      </c>
      <c r="AF23" s="326" t="str">
        <f t="shared" si="36"/>
        <v/>
      </c>
      <c r="AG23" s="326" t="str">
        <f>IF(D23="My fuels", "", IF(L23=3, VLOOKUP('3. Calculator'!E21, gasMeter3EFs,2,FALSE),""))</f>
        <v/>
      </c>
      <c r="AH23" s="326" t="str">
        <f>+IF(AG23="", "", IF(ISNA(VLOOKUP('3. Calculator'!I21,unitStates,5, FALSE)), "", (VLOOKUP('3. Calculator'!I21,unitStates,5, FALSE))))</f>
        <v/>
      </c>
      <c r="AI23" s="326" t="str">
        <f t="shared" si="10"/>
        <v/>
      </c>
      <c r="AJ23" s="326" t="str">
        <f t="shared" si="11"/>
        <v/>
      </c>
      <c r="AK23" s="326" t="str">
        <f t="shared" si="12"/>
        <v/>
      </c>
      <c r="AL23" s="326" t="str">
        <f t="shared" si="13"/>
        <v/>
      </c>
      <c r="AM23" s="326" t="str">
        <f t="shared" si="14"/>
        <v/>
      </c>
      <c r="AN23" s="326" t="str">
        <f t="shared" si="15"/>
        <v/>
      </c>
      <c r="AO23" s="326" t="str">
        <f t="shared" si="16"/>
        <v/>
      </c>
      <c r="AP23" s="326" t="str">
        <f t="shared" si="17"/>
        <v/>
      </c>
      <c r="AQ23" s="326" t="str">
        <f>+IF(ISERROR(VLOOKUP(ghostSpreadsheet_CO2!H23,customConversionFactors, 4, FALSE)), "", VLOOKUP(ghostSpreadsheet_CO2!H23,customConversionFactors, 4, FALSE))</f>
        <v/>
      </c>
      <c r="AR23" s="326" t="str">
        <f t="shared" si="18"/>
        <v/>
      </c>
      <c r="AS23" s="326" t="str">
        <f t="shared" si="19"/>
        <v/>
      </c>
      <c r="AT23" s="326" t="str">
        <f t="shared" si="20"/>
        <v/>
      </c>
      <c r="AU23" s="326" t="str">
        <f t="shared" si="21"/>
        <v/>
      </c>
      <c r="AV23" s="326">
        <f t="shared" si="22"/>
        <v>0</v>
      </c>
      <c r="AW23" s="326">
        <f t="shared" si="23"/>
        <v>0</v>
      </c>
      <c r="AX23" s="326">
        <f t="shared" si="24"/>
        <v>0</v>
      </c>
      <c r="AY23" s="331">
        <f t="shared" si="38"/>
        <v>0</v>
      </c>
    </row>
    <row r="24" spans="3:51" ht="13.8" thickBot="1" x14ac:dyDescent="0.3">
      <c r="C24" s="330" t="str">
        <f>IF('3. Calculator'!B22=0, "", '3. Calculator'!B22)</f>
        <v/>
      </c>
      <c r="D24" s="326" t="str">
        <f>IF('3. Calculator'!D22=0, "", '3. Calculator'!D22)</f>
        <v/>
      </c>
      <c r="E24" s="326" t="str">
        <f>IF('3. Calculator'!E22=0, "", '3. Calculator'!E22)</f>
        <v/>
      </c>
      <c r="F24" s="326">
        <f>IF('3. Calculator'!L22="", 1, IF('3. Calculator'!L22="Not applicable", 1, IF('3. Calculator'!L22="Lower", 1, VLOOKUP('3. Calculator'!E22, HVConversionValues,2,FALSE))))</f>
        <v>1</v>
      </c>
      <c r="G24" s="326" t="str">
        <f>IF('3. Calculator'!H22=0, "", '3. Calculator'!H22)</f>
        <v/>
      </c>
      <c r="H24" s="331" t="str">
        <f>IF('3. Calculator'!I22=0, "", '3. Calculator'!I22)</f>
        <v/>
      </c>
      <c r="I24" s="498" t="str">
        <f>IF(ISNA(VLOOKUP('3. Calculator'!E22,fuelInfo,3, FALSE)), "", (VLOOKUP('3. Calculator'!E22,fuelInfo,3, FALSE)))</f>
        <v/>
      </c>
      <c r="J24" s="326" t="str">
        <f>IF(ISNA(VLOOKUP('3. Calculator'!E22, fuelInfo, 4, FALSE)),"", (VLOOKUP('3. Calculator'!E22, fuelInfo, 4, FALSE)))</f>
        <v/>
      </c>
      <c r="K24" s="326" t="str">
        <f>IF(ISNA(VLOOKUP('3. Calculator'!E22, fuelInfo, 4, FALSE)),"", (F24*VLOOKUP('3. Calculator'!E22, fuelInfo, 4, FALSE)))</f>
        <v/>
      </c>
      <c r="L24" s="326" t="str">
        <f>IF(ISNA(VLOOKUP('3. Calculator'!I22,unitStates,3,FALSE)), "", (VLOOKUP('3. Calculator'!I22,unitStates,3,FALSE)))</f>
        <v/>
      </c>
      <c r="M24" s="328" t="str">
        <f>IF(D24="My fuels", "", IF(L24=0, VLOOKUP('3. Calculator'!I22, energyEFs,3,FALSE),""))</f>
        <v/>
      </c>
      <c r="N24" s="427" t="str">
        <f t="shared" si="25"/>
        <v/>
      </c>
      <c r="O24" s="328" t="str">
        <f t="shared" si="26"/>
        <v/>
      </c>
      <c r="P24" s="328" t="str">
        <f t="shared" si="0"/>
        <v/>
      </c>
      <c r="Q24" s="328" t="str">
        <f t="shared" si="27"/>
        <v/>
      </c>
      <c r="R24" s="328" t="str">
        <f t="shared" si="28"/>
        <v/>
      </c>
      <c r="S24" s="326" t="str">
        <f>IF(D24="My fuels", "", IF(L24=1, VLOOKUP('3. Calculator'!I22, solidEFs,3,FALSE),""))</f>
        <v/>
      </c>
      <c r="T24" s="326" t="str">
        <f t="shared" si="29"/>
        <v/>
      </c>
      <c r="U24" s="326" t="str">
        <f t="shared" si="1"/>
        <v/>
      </c>
      <c r="V24" s="326" t="str">
        <f t="shared" si="2"/>
        <v/>
      </c>
      <c r="W24" s="326" t="str">
        <f t="shared" si="3"/>
        <v/>
      </c>
      <c r="X24" s="326" t="str">
        <f>IF(D24="My fuels","",(IF(L24=2,VLOOKUP('3. Calculator'!E22,liquidLiterEFs,2,FALSE),"")))</f>
        <v/>
      </c>
      <c r="Y24" s="326" t="str">
        <f>+IF(X24="", "", IF(ISNA(VLOOKUP('3. Calculator'!I22,unitStates,4, FALSE)), "", (VLOOKUP('3. Calculator'!I22,unitStates,4, FALSE))))</f>
        <v/>
      </c>
      <c r="Z24" s="326" t="str">
        <f t="shared" si="30"/>
        <v/>
      </c>
      <c r="AA24" s="326" t="str">
        <f t="shared" si="31"/>
        <v/>
      </c>
      <c r="AB24" s="326" t="str">
        <f t="shared" si="32"/>
        <v/>
      </c>
      <c r="AC24" s="326" t="str">
        <f t="shared" si="33"/>
        <v/>
      </c>
      <c r="AD24" s="326" t="str">
        <f t="shared" si="34"/>
        <v/>
      </c>
      <c r="AE24" s="326" t="str">
        <f t="shared" si="35"/>
        <v/>
      </c>
      <c r="AF24" s="326" t="str">
        <f t="shared" si="36"/>
        <v/>
      </c>
      <c r="AG24" s="326" t="str">
        <f>IF(D24="My fuels", "", IF(L24=3, VLOOKUP('3. Calculator'!E22, gasMeter3EFs,2,FALSE),""))</f>
        <v/>
      </c>
      <c r="AH24" s="326" t="str">
        <f>+IF(AG24="", "", IF(ISNA(VLOOKUP('3. Calculator'!I22,unitStates,5, FALSE)), "", (VLOOKUP('3. Calculator'!I22,unitStates,5, FALSE))))</f>
        <v/>
      </c>
      <c r="AI24" s="326" t="str">
        <f t="shared" si="10"/>
        <v/>
      </c>
      <c r="AJ24" s="326" t="str">
        <f t="shared" si="11"/>
        <v/>
      </c>
      <c r="AK24" s="326" t="str">
        <f t="shared" si="12"/>
        <v/>
      </c>
      <c r="AL24" s="326" t="str">
        <f t="shared" si="13"/>
        <v/>
      </c>
      <c r="AM24" s="326" t="str">
        <f t="shared" si="14"/>
        <v/>
      </c>
      <c r="AN24" s="326" t="str">
        <f t="shared" si="15"/>
        <v/>
      </c>
      <c r="AO24" s="326" t="str">
        <f t="shared" si="16"/>
        <v/>
      </c>
      <c r="AP24" s="326" t="str">
        <f t="shared" si="17"/>
        <v/>
      </c>
      <c r="AQ24" s="326" t="str">
        <f>+IF(ISERROR(VLOOKUP(ghostSpreadsheet_CO2!H24,customConversionFactors, 4, FALSE)), "", VLOOKUP(ghostSpreadsheet_CO2!H24,customConversionFactors, 4, FALSE))</f>
        <v/>
      </c>
      <c r="AR24" s="326" t="str">
        <f t="shared" si="18"/>
        <v/>
      </c>
      <c r="AS24" s="326" t="str">
        <f t="shared" si="19"/>
        <v/>
      </c>
      <c r="AT24" s="326" t="str">
        <f t="shared" si="20"/>
        <v/>
      </c>
      <c r="AU24" s="326" t="str">
        <f t="shared" si="21"/>
        <v/>
      </c>
      <c r="AV24" s="326">
        <f t="shared" si="22"/>
        <v>0</v>
      </c>
      <c r="AW24" s="326">
        <f t="shared" si="23"/>
        <v>0</v>
      </c>
      <c r="AX24" s="326">
        <f t="shared" si="24"/>
        <v>0</v>
      </c>
      <c r="AY24" s="331">
        <f t="shared" si="38"/>
        <v>0</v>
      </c>
    </row>
    <row r="25" spans="3:51" ht="13.8" thickBot="1" x14ac:dyDescent="0.3">
      <c r="C25" s="330" t="str">
        <f>IF('3. Calculator'!B23=0, "", '3. Calculator'!B23)</f>
        <v/>
      </c>
      <c r="D25" s="326" t="str">
        <f>IF('3. Calculator'!D23=0, "", '3. Calculator'!D23)</f>
        <v/>
      </c>
      <c r="E25" s="326" t="str">
        <f>IF('3. Calculator'!E23=0, "", '3. Calculator'!E23)</f>
        <v/>
      </c>
      <c r="F25" s="326">
        <f>IF('3. Calculator'!L23="", 1, IF('3. Calculator'!L23="Not applicable", 1, IF('3. Calculator'!L23="Lower", 1, VLOOKUP('3. Calculator'!E23, HVConversionValues,2,FALSE))))</f>
        <v>1</v>
      </c>
      <c r="G25" s="326" t="str">
        <f>IF('3. Calculator'!H23=0, "", '3. Calculator'!H23)</f>
        <v/>
      </c>
      <c r="H25" s="331" t="str">
        <f>IF('3. Calculator'!I23=0, "", '3. Calculator'!I23)</f>
        <v/>
      </c>
      <c r="I25" s="498" t="str">
        <f>IF(ISNA(VLOOKUP('3. Calculator'!E23,fuelInfo,3, FALSE)), "", (VLOOKUP('3. Calculator'!E23,fuelInfo,3, FALSE)))</f>
        <v/>
      </c>
      <c r="J25" s="326" t="str">
        <f>IF(ISNA(VLOOKUP('3. Calculator'!E23, fuelInfo, 4, FALSE)),"", (VLOOKUP('3. Calculator'!E23, fuelInfo, 4, FALSE)))</f>
        <v/>
      </c>
      <c r="K25" s="326" t="str">
        <f>IF(ISNA(VLOOKUP('3. Calculator'!E23, fuelInfo, 4, FALSE)),"", (F25*VLOOKUP('3. Calculator'!E23, fuelInfo, 4, FALSE)))</f>
        <v/>
      </c>
      <c r="L25" s="326" t="str">
        <f>IF(ISNA(VLOOKUP('3. Calculator'!I23,unitStates,3,FALSE)), "", (VLOOKUP('3. Calculator'!I23,unitStates,3,FALSE)))</f>
        <v/>
      </c>
      <c r="M25" s="328" t="str">
        <f>IF(D25="My fuels", "", IF(L25=0, VLOOKUP('3. Calculator'!I23, energyEFs,3,FALSE),""))</f>
        <v/>
      </c>
      <c r="N25" s="427" t="str">
        <f t="shared" si="25"/>
        <v/>
      </c>
      <c r="O25" s="328" t="str">
        <f t="shared" si="26"/>
        <v/>
      </c>
      <c r="P25" s="328" t="str">
        <f t="shared" si="0"/>
        <v/>
      </c>
      <c r="Q25" s="328" t="str">
        <f t="shared" si="27"/>
        <v/>
      </c>
      <c r="R25" s="328" t="str">
        <f t="shared" si="28"/>
        <v/>
      </c>
      <c r="S25" s="326" t="str">
        <f>IF(D25="My fuels", "", IF(L25=1, VLOOKUP('3. Calculator'!I23, solidEFs,3,FALSE),""))</f>
        <v/>
      </c>
      <c r="T25" s="326" t="str">
        <f t="shared" si="29"/>
        <v/>
      </c>
      <c r="U25" s="326" t="str">
        <f t="shared" si="1"/>
        <v/>
      </c>
      <c r="V25" s="326" t="str">
        <f t="shared" si="2"/>
        <v/>
      </c>
      <c r="W25" s="326" t="str">
        <f t="shared" si="3"/>
        <v/>
      </c>
      <c r="X25" s="326" t="str">
        <f>IF(D25="My fuels","",(IF(L25=2,VLOOKUP('3. Calculator'!E23,liquidLiterEFs,2,FALSE),"")))</f>
        <v/>
      </c>
      <c r="Y25" s="326" t="str">
        <f>+IF(X25="", "", IF(ISNA(VLOOKUP('3. Calculator'!I23,unitStates,4, FALSE)), "", (VLOOKUP('3. Calculator'!I23,unitStates,4, FALSE))))</f>
        <v/>
      </c>
      <c r="Z25" s="326" t="str">
        <f t="shared" si="30"/>
        <v/>
      </c>
      <c r="AA25" s="326" t="str">
        <f t="shared" si="31"/>
        <v/>
      </c>
      <c r="AB25" s="326" t="str">
        <f t="shared" si="32"/>
        <v/>
      </c>
      <c r="AC25" s="326" t="str">
        <f t="shared" si="33"/>
        <v/>
      </c>
      <c r="AD25" s="326" t="str">
        <f t="shared" si="34"/>
        <v/>
      </c>
      <c r="AE25" s="326" t="str">
        <f t="shared" si="35"/>
        <v/>
      </c>
      <c r="AF25" s="326" t="str">
        <f t="shared" si="36"/>
        <v/>
      </c>
      <c r="AG25" s="326" t="str">
        <f>IF(D25="My fuels", "", IF(L25=3, VLOOKUP('3. Calculator'!E23, gasMeter3EFs,2,FALSE),""))</f>
        <v/>
      </c>
      <c r="AH25" s="326" t="str">
        <f>+IF(AG25="", "", IF(ISNA(VLOOKUP('3. Calculator'!I23,unitStates,5, FALSE)), "", (VLOOKUP('3. Calculator'!I23,unitStates,5, FALSE))))</f>
        <v/>
      </c>
      <c r="AI25" s="326" t="str">
        <f t="shared" si="10"/>
        <v/>
      </c>
      <c r="AJ25" s="326" t="str">
        <f t="shared" si="11"/>
        <v/>
      </c>
      <c r="AK25" s="326" t="str">
        <f t="shared" si="12"/>
        <v/>
      </c>
      <c r="AL25" s="326" t="str">
        <f t="shared" si="13"/>
        <v/>
      </c>
      <c r="AM25" s="326" t="str">
        <f t="shared" si="14"/>
        <v/>
      </c>
      <c r="AN25" s="326" t="str">
        <f t="shared" si="15"/>
        <v/>
      </c>
      <c r="AO25" s="326" t="str">
        <f t="shared" si="16"/>
        <v/>
      </c>
      <c r="AP25" s="326" t="str">
        <f t="shared" si="17"/>
        <v/>
      </c>
      <c r="AQ25" s="326" t="str">
        <f>+IF(ISERROR(VLOOKUP(ghostSpreadsheet_CO2!H25,customConversionFactors, 4, FALSE)), "", VLOOKUP(ghostSpreadsheet_CO2!H25,customConversionFactors, 4, FALSE))</f>
        <v/>
      </c>
      <c r="AR25" s="326" t="str">
        <f t="shared" si="18"/>
        <v/>
      </c>
      <c r="AS25" s="326" t="str">
        <f t="shared" si="19"/>
        <v/>
      </c>
      <c r="AT25" s="326" t="str">
        <f t="shared" si="20"/>
        <v/>
      </c>
      <c r="AU25" s="326" t="str">
        <f t="shared" si="21"/>
        <v/>
      </c>
      <c r="AV25" s="326">
        <f t="shared" si="22"/>
        <v>0</v>
      </c>
      <c r="AW25" s="326">
        <f t="shared" si="23"/>
        <v>0</v>
      </c>
      <c r="AX25" s="326">
        <f t="shared" si="24"/>
        <v>0</v>
      </c>
      <c r="AY25" s="331">
        <f t="shared" si="38"/>
        <v>0</v>
      </c>
    </row>
    <row r="26" spans="3:51" ht="13.8" thickBot="1" x14ac:dyDescent="0.3">
      <c r="C26" s="330" t="str">
        <f>IF('3. Calculator'!B24=0, "", '3. Calculator'!B24)</f>
        <v/>
      </c>
      <c r="D26" s="326" t="str">
        <f>IF('3. Calculator'!D24=0, "", '3. Calculator'!D24)</f>
        <v/>
      </c>
      <c r="E26" s="326" t="str">
        <f>IF('3. Calculator'!E24=0, "", '3. Calculator'!E24)</f>
        <v/>
      </c>
      <c r="F26" s="326">
        <f>IF('3. Calculator'!L24="", 1, IF('3. Calculator'!L24="Not applicable", 1, IF('3. Calculator'!L24="Lower", 1, VLOOKUP('3. Calculator'!E24, HVConversionValues,2,FALSE))))</f>
        <v>1</v>
      </c>
      <c r="G26" s="326" t="str">
        <f>IF('3. Calculator'!H24=0, "", '3. Calculator'!H24)</f>
        <v/>
      </c>
      <c r="H26" s="331" t="str">
        <f>IF('3. Calculator'!I24=0, "", '3. Calculator'!I24)</f>
        <v/>
      </c>
      <c r="I26" s="498" t="str">
        <f>IF(ISNA(VLOOKUP('3. Calculator'!E24,fuelInfo,3, FALSE)), "", (VLOOKUP('3. Calculator'!E24,fuelInfo,3, FALSE)))</f>
        <v/>
      </c>
      <c r="J26" s="326" t="str">
        <f>IF(ISNA(VLOOKUP('3. Calculator'!E24, fuelInfo, 4, FALSE)),"", (VLOOKUP('3. Calculator'!E24, fuelInfo, 4, FALSE)))</f>
        <v/>
      </c>
      <c r="K26" s="326" t="str">
        <f>IF(ISNA(VLOOKUP('3. Calculator'!E24, fuelInfo, 4, FALSE)),"", (F26*VLOOKUP('3. Calculator'!E24, fuelInfo, 4, FALSE)))</f>
        <v/>
      </c>
      <c r="L26" s="326" t="str">
        <f>IF(ISNA(VLOOKUP('3. Calculator'!I24,unitStates,3,FALSE)), "", (VLOOKUP('3. Calculator'!I24,unitStates,3,FALSE)))</f>
        <v/>
      </c>
      <c r="M26" s="328" t="str">
        <f>IF(D26="My fuels", "", IF(L26=0, VLOOKUP('3. Calculator'!I24, energyEFs,3,FALSE),""))</f>
        <v/>
      </c>
      <c r="N26" s="427" t="str">
        <f t="shared" si="25"/>
        <v/>
      </c>
      <c r="O26" s="328" t="str">
        <f t="shared" si="26"/>
        <v/>
      </c>
      <c r="P26" s="328" t="str">
        <f t="shared" si="0"/>
        <v/>
      </c>
      <c r="Q26" s="328" t="str">
        <f t="shared" si="27"/>
        <v/>
      </c>
      <c r="R26" s="328" t="str">
        <f t="shared" si="28"/>
        <v/>
      </c>
      <c r="S26" s="326" t="str">
        <f>IF(D26="My fuels", "", IF(L26=1, VLOOKUP('3. Calculator'!I24, solidEFs,3,FALSE),""))</f>
        <v/>
      </c>
      <c r="T26" s="326" t="str">
        <f t="shared" si="29"/>
        <v/>
      </c>
      <c r="U26" s="326" t="str">
        <f t="shared" si="1"/>
        <v/>
      </c>
      <c r="V26" s="326" t="str">
        <f t="shared" si="2"/>
        <v/>
      </c>
      <c r="W26" s="326" t="str">
        <f t="shared" si="3"/>
        <v/>
      </c>
      <c r="X26" s="326" t="str">
        <f>IF(D26="My fuels","",(IF(L26=2,VLOOKUP('3. Calculator'!E24,liquidLiterEFs,2,FALSE),"")))</f>
        <v/>
      </c>
      <c r="Y26" s="326" t="str">
        <f>+IF(X26="", "", IF(ISNA(VLOOKUP('3. Calculator'!I24,unitStates,4, FALSE)), "", (VLOOKUP('3. Calculator'!I24,unitStates,4, FALSE))))</f>
        <v/>
      </c>
      <c r="Z26" s="326" t="str">
        <f t="shared" si="30"/>
        <v/>
      </c>
      <c r="AA26" s="326" t="str">
        <f t="shared" si="31"/>
        <v/>
      </c>
      <c r="AB26" s="326" t="str">
        <f t="shared" si="32"/>
        <v/>
      </c>
      <c r="AC26" s="326" t="str">
        <f t="shared" si="33"/>
        <v/>
      </c>
      <c r="AD26" s="326" t="str">
        <f t="shared" si="34"/>
        <v/>
      </c>
      <c r="AE26" s="326" t="str">
        <f t="shared" si="35"/>
        <v/>
      </c>
      <c r="AF26" s="326" t="str">
        <f t="shared" si="36"/>
        <v/>
      </c>
      <c r="AG26" s="326" t="str">
        <f>IF(D26="My fuels", "", IF(L26=3, VLOOKUP('3. Calculator'!E24, gasMeter3EFs,2,FALSE),""))</f>
        <v/>
      </c>
      <c r="AH26" s="326" t="str">
        <f>+IF(AG26="", "", IF(ISNA(VLOOKUP('3. Calculator'!I24,unitStates,5, FALSE)), "", (VLOOKUP('3. Calculator'!I24,unitStates,5, FALSE))))</f>
        <v/>
      </c>
      <c r="AI26" s="326" t="str">
        <f t="shared" si="10"/>
        <v/>
      </c>
      <c r="AJ26" s="326" t="str">
        <f t="shared" si="11"/>
        <v/>
      </c>
      <c r="AK26" s="326" t="str">
        <f t="shared" si="12"/>
        <v/>
      </c>
      <c r="AL26" s="326" t="str">
        <f t="shared" si="13"/>
        <v/>
      </c>
      <c r="AM26" s="326" t="str">
        <f t="shared" si="14"/>
        <v/>
      </c>
      <c r="AN26" s="326" t="str">
        <f t="shared" si="15"/>
        <v/>
      </c>
      <c r="AO26" s="326" t="str">
        <f t="shared" si="16"/>
        <v/>
      </c>
      <c r="AP26" s="326" t="str">
        <f t="shared" si="17"/>
        <v/>
      </c>
      <c r="AQ26" s="326" t="str">
        <f>+IF(ISERROR(VLOOKUP(ghostSpreadsheet_CO2!H26,customConversionFactors, 4, FALSE)), "", VLOOKUP(ghostSpreadsheet_CO2!H26,customConversionFactors, 4, FALSE))</f>
        <v/>
      </c>
      <c r="AR26" s="326" t="str">
        <f t="shared" si="18"/>
        <v/>
      </c>
      <c r="AS26" s="326" t="str">
        <f t="shared" si="19"/>
        <v/>
      </c>
      <c r="AT26" s="326" t="str">
        <f t="shared" si="20"/>
        <v/>
      </c>
      <c r="AU26" s="326" t="str">
        <f t="shared" si="21"/>
        <v/>
      </c>
      <c r="AV26" s="326">
        <f t="shared" si="22"/>
        <v>0</v>
      </c>
      <c r="AW26" s="326">
        <f t="shared" si="23"/>
        <v>0</v>
      </c>
      <c r="AX26" s="326">
        <f t="shared" si="24"/>
        <v>0</v>
      </c>
      <c r="AY26" s="331">
        <f t="shared" si="38"/>
        <v>0</v>
      </c>
    </row>
    <row r="27" spans="3:51" ht="13.8" thickBot="1" x14ac:dyDescent="0.3">
      <c r="C27" s="330" t="str">
        <f>IF('3. Calculator'!B25=0, "", '3. Calculator'!B25)</f>
        <v/>
      </c>
      <c r="D27" s="326" t="str">
        <f>IF('3. Calculator'!D25=0, "", '3. Calculator'!D25)</f>
        <v/>
      </c>
      <c r="E27" s="326" t="str">
        <f>IF('3. Calculator'!E25=0, "", '3. Calculator'!E25)</f>
        <v/>
      </c>
      <c r="F27" s="326">
        <f>IF('3. Calculator'!L25="", 1, IF('3. Calculator'!L25="Not applicable", 1, IF('3. Calculator'!L25="Lower", 1, VLOOKUP('3. Calculator'!E25, HVConversionValues,2,FALSE))))</f>
        <v>1</v>
      </c>
      <c r="G27" s="326" t="str">
        <f>IF('3. Calculator'!H25=0, "", '3. Calculator'!H25)</f>
        <v/>
      </c>
      <c r="H27" s="331" t="str">
        <f>IF('3. Calculator'!I25=0, "", '3. Calculator'!I25)</f>
        <v/>
      </c>
      <c r="I27" s="498" t="str">
        <f>IF(ISNA(VLOOKUP('3. Calculator'!E25,fuelInfo,3, FALSE)), "", (VLOOKUP('3. Calculator'!E25,fuelInfo,3, FALSE)))</f>
        <v/>
      </c>
      <c r="J27" s="326" t="str">
        <f>IF(ISNA(VLOOKUP('3. Calculator'!E25, fuelInfo, 4, FALSE)),"", (VLOOKUP('3. Calculator'!E25, fuelInfo, 4, FALSE)))</f>
        <v/>
      </c>
      <c r="K27" s="326" t="str">
        <f>IF(ISNA(VLOOKUP('3. Calculator'!E25, fuelInfo, 4, FALSE)),"", (F27*VLOOKUP('3. Calculator'!E25, fuelInfo, 4, FALSE)))</f>
        <v/>
      </c>
      <c r="L27" s="326" t="str">
        <f>IF(ISNA(VLOOKUP('3. Calculator'!I25,unitStates,3,FALSE)), "", (VLOOKUP('3. Calculator'!I25,unitStates,3,FALSE)))</f>
        <v/>
      </c>
      <c r="M27" s="328" t="str">
        <f>IF(D27="My fuels", "", IF(L27=0, VLOOKUP('3. Calculator'!I25, energyEFs,3,FALSE),""))</f>
        <v/>
      </c>
      <c r="N27" s="427" t="str">
        <f t="shared" si="25"/>
        <v/>
      </c>
      <c r="O27" s="328" t="str">
        <f t="shared" si="26"/>
        <v/>
      </c>
      <c r="P27" s="328" t="str">
        <f t="shared" si="0"/>
        <v/>
      </c>
      <c r="Q27" s="328" t="str">
        <f t="shared" si="27"/>
        <v/>
      </c>
      <c r="R27" s="328" t="str">
        <f t="shared" si="28"/>
        <v/>
      </c>
      <c r="S27" s="326" t="str">
        <f>IF(D27="My fuels", "", IF(L27=1, VLOOKUP('3. Calculator'!I25, solidEFs,3,FALSE),""))</f>
        <v/>
      </c>
      <c r="T27" s="326" t="str">
        <f t="shared" si="29"/>
        <v/>
      </c>
      <c r="U27" s="326" t="str">
        <f t="shared" si="1"/>
        <v/>
      </c>
      <c r="V27" s="326" t="str">
        <f t="shared" si="2"/>
        <v/>
      </c>
      <c r="W27" s="326" t="str">
        <f t="shared" si="3"/>
        <v/>
      </c>
      <c r="X27" s="326" t="str">
        <f>IF(D27="My fuels","",(IF(L27=2,VLOOKUP('3. Calculator'!E25,liquidLiterEFs,2,FALSE),"")))</f>
        <v/>
      </c>
      <c r="Y27" s="326" t="str">
        <f>+IF(X27="", "", IF(ISNA(VLOOKUP('3. Calculator'!I25,unitStates,4, FALSE)), "", (VLOOKUP('3. Calculator'!I25,unitStates,4, FALSE))))</f>
        <v/>
      </c>
      <c r="Z27" s="326" t="str">
        <f t="shared" si="30"/>
        <v/>
      </c>
      <c r="AA27" s="326" t="str">
        <f t="shared" si="31"/>
        <v/>
      </c>
      <c r="AB27" s="326" t="str">
        <f t="shared" si="32"/>
        <v/>
      </c>
      <c r="AC27" s="326" t="str">
        <f t="shared" si="33"/>
        <v/>
      </c>
      <c r="AD27" s="326" t="str">
        <f t="shared" si="34"/>
        <v/>
      </c>
      <c r="AE27" s="326" t="str">
        <f t="shared" si="35"/>
        <v/>
      </c>
      <c r="AF27" s="326" t="str">
        <f t="shared" si="36"/>
        <v/>
      </c>
      <c r="AG27" s="326" t="str">
        <f>IF(D27="My fuels", "", IF(L27=3, VLOOKUP('3. Calculator'!E25, gasMeter3EFs,2,FALSE),""))</f>
        <v/>
      </c>
      <c r="AH27" s="326" t="str">
        <f>+IF(AG27="", "", IF(ISNA(VLOOKUP('3. Calculator'!I25,unitStates,5, FALSE)), "", (VLOOKUP('3. Calculator'!I25,unitStates,5, FALSE))))</f>
        <v/>
      </c>
      <c r="AI27" s="326" t="str">
        <f t="shared" si="10"/>
        <v/>
      </c>
      <c r="AJ27" s="326" t="str">
        <f t="shared" si="11"/>
        <v/>
      </c>
      <c r="AK27" s="326" t="str">
        <f t="shared" si="12"/>
        <v/>
      </c>
      <c r="AL27" s="326" t="str">
        <f t="shared" si="13"/>
        <v/>
      </c>
      <c r="AM27" s="326" t="str">
        <f t="shared" si="14"/>
        <v/>
      </c>
      <c r="AN27" s="326" t="str">
        <f t="shared" si="15"/>
        <v/>
      </c>
      <c r="AO27" s="326" t="str">
        <f t="shared" si="16"/>
        <v/>
      </c>
      <c r="AP27" s="326" t="str">
        <f t="shared" si="17"/>
        <v/>
      </c>
      <c r="AQ27" s="326" t="str">
        <f>+IF(ISERROR(VLOOKUP(ghostSpreadsheet_CO2!H27,customConversionFactors, 4, FALSE)), "", VLOOKUP(ghostSpreadsheet_CO2!H27,customConversionFactors, 4, FALSE))</f>
        <v/>
      </c>
      <c r="AR27" s="326" t="str">
        <f t="shared" si="18"/>
        <v/>
      </c>
      <c r="AS27" s="326" t="str">
        <f t="shared" si="19"/>
        <v/>
      </c>
      <c r="AT27" s="326" t="str">
        <f t="shared" si="20"/>
        <v/>
      </c>
      <c r="AU27" s="326" t="str">
        <f t="shared" si="21"/>
        <v/>
      </c>
      <c r="AV27" s="326">
        <f t="shared" si="22"/>
        <v>0</v>
      </c>
      <c r="AW27" s="326">
        <f t="shared" si="23"/>
        <v>0</v>
      </c>
      <c r="AX27" s="326">
        <f t="shared" si="24"/>
        <v>0</v>
      </c>
      <c r="AY27" s="331">
        <f t="shared" si="38"/>
        <v>0</v>
      </c>
    </row>
    <row r="28" spans="3:51" ht="13.8" thickBot="1" x14ac:dyDescent="0.3">
      <c r="C28" s="330" t="str">
        <f>IF('3. Calculator'!B29=0, "", '3. Calculator'!B29)</f>
        <v/>
      </c>
      <c r="D28" s="326" t="str">
        <f>IF('3. Calculator'!D29=0, "", '3. Calculator'!D29)</f>
        <v/>
      </c>
      <c r="E28" s="326" t="str">
        <f>IF('3. Calculator'!E29=0, "", '3. Calculator'!E29)</f>
        <v/>
      </c>
      <c r="F28" s="326">
        <f>IF('3. Calculator'!L29="", 1, IF('3. Calculator'!L29="Not applicable", 1, IF('3. Calculator'!L29="Lower", 1, VLOOKUP('3. Calculator'!E29, HVConversionValues,2,FALSE))))</f>
        <v>1</v>
      </c>
      <c r="G28" s="326" t="str">
        <f>IF('3. Calculator'!H29=0, "", '3. Calculator'!H29)</f>
        <v/>
      </c>
      <c r="H28" s="331" t="str">
        <f>IF('3. Calculator'!I29=0, "", '3. Calculator'!I29)</f>
        <v/>
      </c>
      <c r="I28" s="498" t="str">
        <f>IF(ISNA(VLOOKUP('3. Calculator'!E29,fuelInfo,3, FALSE)), "", (VLOOKUP('3. Calculator'!E29,fuelInfo,3, FALSE)))</f>
        <v/>
      </c>
      <c r="J28" s="326" t="str">
        <f>IF(ISNA(VLOOKUP('3. Calculator'!E29, fuelInfo, 4, FALSE)),"", (VLOOKUP('3. Calculator'!E29, fuelInfo, 4, FALSE)))</f>
        <v/>
      </c>
      <c r="K28" s="326" t="str">
        <f>IF(ISNA(VLOOKUP('3. Calculator'!E29, fuelInfo, 4, FALSE)),"", (F28*VLOOKUP('3. Calculator'!E29, fuelInfo, 4, FALSE)))</f>
        <v/>
      </c>
      <c r="L28" s="326" t="str">
        <f>IF(ISNA(VLOOKUP('3. Calculator'!I29,unitStates,3,FALSE)), "", (VLOOKUP('3. Calculator'!I29,unitStates,3,FALSE)))</f>
        <v/>
      </c>
      <c r="M28" s="328" t="str">
        <f>IF(D28="My fuels", "", IF(L28=0, VLOOKUP('3. Calculator'!I26, energyEFs,3,FALSE),""))</f>
        <v/>
      </c>
      <c r="N28" s="427" t="str">
        <f t="shared" si="25"/>
        <v/>
      </c>
      <c r="O28" s="328" t="str">
        <f t="shared" si="26"/>
        <v/>
      </c>
      <c r="P28" s="328" t="str">
        <f t="shared" si="0"/>
        <v/>
      </c>
      <c r="Q28" s="328" t="str">
        <f t="shared" si="27"/>
        <v/>
      </c>
      <c r="R28" s="328" t="str">
        <f t="shared" si="28"/>
        <v/>
      </c>
      <c r="S28" s="326" t="str">
        <f>IF(D28="My fuels", "", IF(L28=1, VLOOKUP('3. Calculator'!I29, solidEFs,3,FALSE),""))</f>
        <v/>
      </c>
      <c r="T28" s="326" t="str">
        <f t="shared" si="29"/>
        <v/>
      </c>
      <c r="U28" s="326" t="str">
        <f t="shared" si="1"/>
        <v/>
      </c>
      <c r="V28" s="326" t="str">
        <f t="shared" si="2"/>
        <v/>
      </c>
      <c r="W28" s="326" t="str">
        <f t="shared" si="3"/>
        <v/>
      </c>
      <c r="X28" s="326" t="str">
        <f>IF(D28="My fuels","",(IF(L28=2,VLOOKUP('3. Calculator'!E29,liquidLiterEFs,2,FALSE),"")))</f>
        <v/>
      </c>
      <c r="Y28" s="326" t="str">
        <f>+IF(X28="", "", IF(ISNA(VLOOKUP('3. Calculator'!I29,unitStates,4, FALSE)), "", (VLOOKUP('3. Calculator'!I29,unitStates,4, FALSE))))</f>
        <v/>
      </c>
      <c r="Z28" s="326" t="str">
        <f t="shared" si="30"/>
        <v/>
      </c>
      <c r="AA28" s="326" t="str">
        <f t="shared" si="31"/>
        <v/>
      </c>
      <c r="AB28" s="326" t="str">
        <f t="shared" si="32"/>
        <v/>
      </c>
      <c r="AC28" s="326" t="str">
        <f t="shared" si="33"/>
        <v/>
      </c>
      <c r="AD28" s="326" t="str">
        <f t="shared" si="34"/>
        <v/>
      </c>
      <c r="AE28" s="326" t="str">
        <f t="shared" si="35"/>
        <v/>
      </c>
      <c r="AF28" s="326" t="str">
        <f t="shared" si="36"/>
        <v/>
      </c>
      <c r="AG28" s="326" t="str">
        <f>IF(D28="My fuels", "", IF(L28=3, VLOOKUP('3. Calculator'!E29, gasMeter3EFs,2,FALSE),""))</f>
        <v/>
      </c>
      <c r="AH28" s="326" t="str">
        <f>+IF(AG28="", "", IF(ISNA(VLOOKUP('3. Calculator'!I29,unitStates,5, FALSE)), "", (VLOOKUP('3. Calculator'!I29,unitStates,5, FALSE))))</f>
        <v/>
      </c>
      <c r="AI28" s="326" t="str">
        <f t="shared" si="10"/>
        <v/>
      </c>
      <c r="AJ28" s="326" t="str">
        <f t="shared" si="11"/>
        <v/>
      </c>
      <c r="AK28" s="326" t="str">
        <f t="shared" si="12"/>
        <v/>
      </c>
      <c r="AL28" s="326" t="str">
        <f t="shared" si="13"/>
        <v/>
      </c>
      <c r="AM28" s="326" t="str">
        <f t="shared" si="14"/>
        <v/>
      </c>
      <c r="AN28" s="326" t="str">
        <f t="shared" si="15"/>
        <v/>
      </c>
      <c r="AO28" s="326" t="str">
        <f t="shared" si="16"/>
        <v/>
      </c>
      <c r="AP28" s="326" t="str">
        <f t="shared" si="17"/>
        <v/>
      </c>
      <c r="AQ28" s="326" t="str">
        <f>+IF(ISERROR(VLOOKUP(ghostSpreadsheet_CO2!H28,customConversionFactors, 4, FALSE)), "", VLOOKUP(ghostSpreadsheet_CO2!H28,customConversionFactors, 4, FALSE))</f>
        <v/>
      </c>
      <c r="AR28" s="326" t="str">
        <f t="shared" si="18"/>
        <v/>
      </c>
      <c r="AS28" s="326" t="str">
        <f t="shared" si="19"/>
        <v/>
      </c>
      <c r="AT28" s="326" t="str">
        <f t="shared" si="20"/>
        <v/>
      </c>
      <c r="AU28" s="326" t="str">
        <f t="shared" si="21"/>
        <v/>
      </c>
      <c r="AV28" s="326">
        <f t="shared" si="22"/>
        <v>0</v>
      </c>
      <c r="AW28" s="326">
        <f t="shared" si="23"/>
        <v>0</v>
      </c>
      <c r="AX28" s="326">
        <f t="shared" si="24"/>
        <v>0</v>
      </c>
      <c r="AY28" s="331">
        <f t="shared" si="38"/>
        <v>0</v>
      </c>
    </row>
    <row r="29" spans="3:51" ht="13.8" thickBot="1" x14ac:dyDescent="0.3">
      <c r="C29" s="330" t="str">
        <f>IF('3. Calculator'!B30=0, "", '3. Calculator'!B30)</f>
        <v/>
      </c>
      <c r="D29" s="326" t="str">
        <f>IF('3. Calculator'!D30=0, "", '3. Calculator'!D30)</f>
        <v/>
      </c>
      <c r="E29" s="326" t="str">
        <f>IF('3. Calculator'!E30=0, "", '3. Calculator'!E30)</f>
        <v/>
      </c>
      <c r="F29" s="326">
        <f>IF('3. Calculator'!L30="", 1, IF('3. Calculator'!L30="Not applicable", 1, IF('3. Calculator'!L30="Lower", 1, VLOOKUP('3. Calculator'!E30, HVConversionValues,2,FALSE))))</f>
        <v>1</v>
      </c>
      <c r="G29" s="326" t="str">
        <f>IF('3. Calculator'!H30=0, "", '3. Calculator'!H30)</f>
        <v/>
      </c>
      <c r="H29" s="331" t="str">
        <f>IF('3. Calculator'!I30=0, "", '3. Calculator'!I30)</f>
        <v/>
      </c>
      <c r="I29" s="498" t="str">
        <f>IF(ISNA(VLOOKUP('3. Calculator'!E30,fuelInfo,3, FALSE)), "", (VLOOKUP('3. Calculator'!E30,fuelInfo,3, FALSE)))</f>
        <v/>
      </c>
      <c r="J29" s="326" t="str">
        <f>IF(ISNA(VLOOKUP('3. Calculator'!E30, fuelInfo, 4, FALSE)),"", (VLOOKUP('3. Calculator'!E30, fuelInfo, 4, FALSE)))</f>
        <v/>
      </c>
      <c r="K29" s="326" t="str">
        <f>IF(ISNA(VLOOKUP('3. Calculator'!E30, fuelInfo, 4, FALSE)),"", (F29*VLOOKUP('3. Calculator'!E30, fuelInfo, 4, FALSE)))</f>
        <v/>
      </c>
      <c r="L29" s="326" t="str">
        <f>IF(ISNA(VLOOKUP('3. Calculator'!I30,unitStates,3,FALSE)), "", (VLOOKUP('3. Calculator'!I30,unitStates,3,FALSE)))</f>
        <v/>
      </c>
      <c r="M29" s="328" t="str">
        <f>IF(D29="My fuels", "", IF(L29=0, VLOOKUP('3. Calculator'!I27, energyEFs,3,FALSE),""))</f>
        <v/>
      </c>
      <c r="N29" s="427" t="str">
        <f t="shared" ref="N29:N34" si="39">IF(M29="","",(1/F29)*I29)</f>
        <v/>
      </c>
      <c r="O29" s="328" t="str">
        <f t="shared" ref="O29:O34" si="40">IF(M29="","", G29*(1/F29)*I29*M29)</f>
        <v/>
      </c>
      <c r="P29" s="328" t="str">
        <f t="shared" ref="P29:P34" si="41">IF(O29="","", IF(ISNA(VLOOKUP(E29, fuelInfo,2, FALSE)), "", (VLOOKUP(E29, fuelInfo,2, FALSE))))</f>
        <v/>
      </c>
      <c r="Q29" s="328" t="str">
        <f t="shared" ref="Q29:Q34" si="42">IF(P29=1, O29, "")</f>
        <v/>
      </c>
      <c r="R29" s="328" t="str">
        <f t="shared" ref="R29:R34" si="43">IF(P29=2, O29, "")</f>
        <v/>
      </c>
      <c r="S29" s="326" t="str">
        <f>IF(D29="My fuels", "", IF(L29=1, VLOOKUP('3. Calculator'!I30, solidEFs,3,FALSE),""))</f>
        <v/>
      </c>
      <c r="T29" s="326" t="str">
        <f t="shared" ref="T29:T34" si="44">IF(S29="", "", I29*(1/F29)*G29*K29*S29)</f>
        <v/>
      </c>
      <c r="U29" s="326" t="str">
        <f t="shared" ref="U29:U34" si="45">IF(T29="","", IF(ISNA(VLOOKUP(E29, fuelInfo,2, FALSE)), "", (VLOOKUP(E29, fuelInfo,2, FALSE))))</f>
        <v/>
      </c>
      <c r="V29" s="326" t="str">
        <f t="shared" ref="V29:V34" si="46">IF(U29=1, T29, "")</f>
        <v/>
      </c>
      <c r="W29" s="326" t="str">
        <f t="shared" ref="W29:W34" si="47">IF(U29=2, T29, "")</f>
        <v/>
      </c>
      <c r="X29" s="326" t="str">
        <f>IF(D29="My fuels","",(IF(L29=2,VLOOKUP('3. Calculator'!E30,liquidLiterEFs,2,FALSE),"")))</f>
        <v/>
      </c>
      <c r="Y29" s="326" t="str">
        <f>+IF(X29="", "", IF(ISNA(VLOOKUP('3. Calculator'!I30,unitStates,4, FALSE)), "", (VLOOKUP('3. Calculator'!I30,unitStates,4, FALSE))))</f>
        <v/>
      </c>
      <c r="Z29" s="326" t="str">
        <f t="shared" ref="Z29:Z34" si="48">IFERROR(IF(L29=2, G29*X29,""),"")</f>
        <v/>
      </c>
      <c r="AA29" s="326" t="str">
        <f t="shared" ref="AA29:AA34" si="49">IF(X29="", "", IF(Y29=2, 3.785,1))</f>
        <v/>
      </c>
      <c r="AB29" s="326" t="str">
        <f t="shared" ref="AB29:AB34" si="50">IF(X29="","",IF(Y29=3, 158.99,1))</f>
        <v/>
      </c>
      <c r="AC29" s="326" t="str">
        <f t="shared" ref="AC29:AC34" si="51">+IF(X29="", "", Z29*AA29*AB29)</f>
        <v/>
      </c>
      <c r="AD29" s="326" t="str">
        <f t="shared" ref="AD29:AD34" si="52">IF(AC29="","", IF(ISNA(VLOOKUP(E29, fuelInfo,2, FALSE)), "", (VLOOKUP(E29, fuelInfo,2, FALSE))))</f>
        <v/>
      </c>
      <c r="AE29" s="326" t="str">
        <f t="shared" ref="AE29:AE34" si="53">IF(AD29=1, AC29, "")</f>
        <v/>
      </c>
      <c r="AF29" s="326" t="str">
        <f t="shared" ref="AF29:AF34" si="54">IF(AD29=2, AC29, "")</f>
        <v/>
      </c>
      <c r="AG29" s="326" t="str">
        <f>IF(D29="My fuels", "", IF(L29=3, VLOOKUP('3. Calculator'!E30, gasMeter3EFs,2,FALSE),""))</f>
        <v/>
      </c>
      <c r="AH29" s="326" t="str">
        <f>+IF(AG29="", "", IF(ISNA(VLOOKUP('3. Calculator'!I30,unitStates,5, FALSE)), "", (VLOOKUP('3. Calculator'!I30,unitStates,5, FALSE))))</f>
        <v/>
      </c>
      <c r="AI29" s="326" t="str">
        <f t="shared" ref="AI29:AI34" si="55">IF(AG29="","", IF(AH29=1,1,0.02832))</f>
        <v/>
      </c>
      <c r="AJ29" s="326" t="str">
        <f t="shared" ref="AJ29:AJ34" si="56">IF(AG29="", "", G29*AG29*AI29)</f>
        <v/>
      </c>
      <c r="AK29" s="326" t="str">
        <f t="shared" ref="AK29:AK34" si="57">IF(AJ29="","", IF(ISNA(VLOOKUP(E29, fuelInfo,2, FALSE)), "", (VLOOKUP(E29, fuelInfo,2, FALSE))))</f>
        <v/>
      </c>
      <c r="AL29" s="326" t="str">
        <f t="shared" ref="AL29:AL34" si="58">IF(AK29=1, AJ29, "")</f>
        <v/>
      </c>
      <c r="AM29" s="326" t="str">
        <f t="shared" ref="AM29:AM34" si="59">IF(AK29=2, AJ29, "")</f>
        <v/>
      </c>
      <c r="AN29" s="326" t="str">
        <f t="shared" ref="AN29:AN34" si="60">IF(D29="My fuels", VLOOKUP(E29, customTable, 11, FALSE), "")</f>
        <v/>
      </c>
      <c r="AO29" s="326" t="str">
        <f t="shared" ref="AO29:AO34" si="61">IF(D29="My fuels", VLOOKUP(E29, customTable,3, FALSE)&amp;" "&amp;VLOOKUP(E29, customTable,6, FALSE)&amp;"/"&amp;VLOOKUP(E29, customTable,7, FALSE),"")</f>
        <v/>
      </c>
      <c r="AP29" s="326" t="str">
        <f t="shared" ref="AP29:AP34" si="62">IF(AN29="", "", AN29*G29)</f>
        <v/>
      </c>
      <c r="AQ29" s="326" t="str">
        <f>+IF(ISERROR(VLOOKUP(ghostSpreadsheet_CO2!H29,customConversionFactors, 4, FALSE)), "", VLOOKUP(ghostSpreadsheet_CO2!H29,customConversionFactors, 4, FALSE))</f>
        <v/>
      </c>
      <c r="AR29" s="326" t="str">
        <f t="shared" ref="AR29:AR34" si="63">IF(ISERROR(IF(AN29="", "", AP29*AQ29)), "", IF(AN29="", "", AP29*AQ29))</f>
        <v/>
      </c>
      <c r="AS29" s="326" t="str">
        <f t="shared" ref="AS29:AS34" si="64">IF(AR29="", "", IF(VLOOKUP(E29, customTable, 2, FALSE)="", "",IF(VLOOKUP(E29, customTable, 2, FALSE)="Fossil fuel", 1, 2)))</f>
        <v/>
      </c>
      <c r="AT29" s="326" t="str">
        <f t="shared" ref="AT29:AT34" si="65">IF(AS29=1, AR29, "")</f>
        <v/>
      </c>
      <c r="AU29" s="326" t="str">
        <f t="shared" ref="AU29:AU34" si="66">IF(AS29=2, AR29, "")</f>
        <v/>
      </c>
      <c r="AV29" s="326">
        <f t="shared" ref="AV29:AV34" si="67">IF(AR29="", IF(O29="",0,O29)+IF(T29="",0,T29)+IF(AC29="",0,AC29)+IF(AJ29="",0,AJ29), AR29)</f>
        <v>0</v>
      </c>
      <c r="AW29" s="326">
        <f t="shared" ref="AW29:AW34" si="68">IF(AT29="", IF(Q29="",0,Q29)+IF(V29="",0,V29)+IF(AE29="",0,AE29)+IF(AL29="",0,AL29), AT29)</f>
        <v>0</v>
      </c>
      <c r="AX29" s="326">
        <f t="shared" ref="AX29:AX34" si="69">IF(AU29="", IF(R29="",0,R29)+IF(W29="",0,W29)+IF(AF29="",0,AF29)+IF(AM29="",0,AM29), AU29)</f>
        <v>0</v>
      </c>
      <c r="AY29" s="331">
        <f t="shared" ref="AY29:AY34" si="70">+AV29-AW29-AX29</f>
        <v>0</v>
      </c>
    </row>
    <row r="30" spans="3:51" ht="13.8" thickBot="1" x14ac:dyDescent="0.3">
      <c r="C30" s="330" t="str">
        <f>IF('3. Calculator'!B31=0, "", '3. Calculator'!B31)</f>
        <v/>
      </c>
      <c r="D30" s="326" t="str">
        <f>IF('3. Calculator'!D31=0, "", '3. Calculator'!D31)</f>
        <v/>
      </c>
      <c r="E30" s="326" t="str">
        <f>IF('3. Calculator'!E31=0, "", '3. Calculator'!E31)</f>
        <v/>
      </c>
      <c r="F30" s="326">
        <f>IF('3. Calculator'!L31="", 1, IF('3. Calculator'!L31="Not applicable", 1, IF('3. Calculator'!L31="Lower", 1, VLOOKUP('3. Calculator'!E31, HVConversionValues,2,FALSE))))</f>
        <v>1</v>
      </c>
      <c r="G30" s="326" t="str">
        <f>IF('3. Calculator'!H31=0, "", '3. Calculator'!H31)</f>
        <v/>
      </c>
      <c r="H30" s="331" t="str">
        <f>IF('3. Calculator'!I31=0, "", '3. Calculator'!I31)</f>
        <v/>
      </c>
      <c r="I30" s="498" t="str">
        <f>IF(ISNA(VLOOKUP('3. Calculator'!E31,fuelInfo,3, FALSE)), "", (VLOOKUP('3. Calculator'!E31,fuelInfo,3, FALSE)))</f>
        <v/>
      </c>
      <c r="J30" s="326" t="str">
        <f>IF(ISNA(VLOOKUP('3. Calculator'!E31, fuelInfo, 4, FALSE)),"", (VLOOKUP('3. Calculator'!E31, fuelInfo, 4, FALSE)))</f>
        <v/>
      </c>
      <c r="K30" s="326" t="str">
        <f>IF(ISNA(VLOOKUP('3. Calculator'!E31, fuelInfo, 4, FALSE)),"", (F30*VLOOKUP('3. Calculator'!E31, fuelInfo, 4, FALSE)))</f>
        <v/>
      </c>
      <c r="L30" s="326" t="str">
        <f>IF(ISNA(VLOOKUP('3. Calculator'!I31,unitStates,3,FALSE)), "", (VLOOKUP('3. Calculator'!I31,unitStates,3,FALSE)))</f>
        <v/>
      </c>
      <c r="M30" s="328" t="str">
        <f>IF(D30="My fuels", "", IF(L30=0, VLOOKUP('3. Calculator'!I28, energyEFs,3,FALSE),""))</f>
        <v/>
      </c>
      <c r="N30" s="427" t="str">
        <f t="shared" si="39"/>
        <v/>
      </c>
      <c r="O30" s="328" t="str">
        <f t="shared" si="40"/>
        <v/>
      </c>
      <c r="P30" s="328" t="str">
        <f t="shared" si="41"/>
        <v/>
      </c>
      <c r="Q30" s="328" t="str">
        <f t="shared" si="42"/>
        <v/>
      </c>
      <c r="R30" s="328" t="str">
        <f t="shared" si="43"/>
        <v/>
      </c>
      <c r="S30" s="326" t="str">
        <f>IF(D30="My fuels", "", IF(L30=1, VLOOKUP('3. Calculator'!I31, solidEFs,3,FALSE),""))</f>
        <v/>
      </c>
      <c r="T30" s="326" t="str">
        <f t="shared" si="44"/>
        <v/>
      </c>
      <c r="U30" s="326" t="str">
        <f t="shared" si="45"/>
        <v/>
      </c>
      <c r="V30" s="326" t="str">
        <f t="shared" si="46"/>
        <v/>
      </c>
      <c r="W30" s="326" t="str">
        <f t="shared" si="47"/>
        <v/>
      </c>
      <c r="X30" s="326" t="str">
        <f>IF(D30="My fuels","",(IF(L30=2,VLOOKUP('3. Calculator'!E31,liquidLiterEFs,2,FALSE),"")))</f>
        <v/>
      </c>
      <c r="Y30" s="326" t="str">
        <f>+IF(X30="", "", IF(ISNA(VLOOKUP('3. Calculator'!I31,unitStates,4, FALSE)), "", (VLOOKUP('3. Calculator'!I31,unitStates,4, FALSE))))</f>
        <v/>
      </c>
      <c r="Z30" s="326" t="str">
        <f t="shared" si="48"/>
        <v/>
      </c>
      <c r="AA30" s="326" t="str">
        <f t="shared" si="49"/>
        <v/>
      </c>
      <c r="AB30" s="326" t="str">
        <f t="shared" si="50"/>
        <v/>
      </c>
      <c r="AC30" s="326" t="str">
        <f t="shared" si="51"/>
        <v/>
      </c>
      <c r="AD30" s="326" t="str">
        <f t="shared" si="52"/>
        <v/>
      </c>
      <c r="AE30" s="326" t="str">
        <f t="shared" si="53"/>
        <v/>
      </c>
      <c r="AF30" s="326" t="str">
        <f t="shared" si="54"/>
        <v/>
      </c>
      <c r="AG30" s="326" t="str">
        <f>IF(D30="My fuels", "", IF(L30=3, VLOOKUP('3. Calculator'!E31, gasMeter3EFs,2,FALSE),""))</f>
        <v/>
      </c>
      <c r="AH30" s="326" t="str">
        <f>+IF(AG30="", "", IF(ISNA(VLOOKUP('3. Calculator'!I31,unitStates,5, FALSE)), "", (VLOOKUP('3. Calculator'!I31,unitStates,5, FALSE))))</f>
        <v/>
      </c>
      <c r="AI30" s="326" t="str">
        <f t="shared" si="55"/>
        <v/>
      </c>
      <c r="AJ30" s="326" t="str">
        <f t="shared" si="56"/>
        <v/>
      </c>
      <c r="AK30" s="326" t="str">
        <f t="shared" si="57"/>
        <v/>
      </c>
      <c r="AL30" s="326" t="str">
        <f t="shared" si="58"/>
        <v/>
      </c>
      <c r="AM30" s="326" t="str">
        <f t="shared" si="59"/>
        <v/>
      </c>
      <c r="AN30" s="326" t="str">
        <f t="shared" si="60"/>
        <v/>
      </c>
      <c r="AO30" s="326" t="str">
        <f t="shared" si="61"/>
        <v/>
      </c>
      <c r="AP30" s="326" t="str">
        <f t="shared" si="62"/>
        <v/>
      </c>
      <c r="AQ30" s="326" t="str">
        <f>+IF(ISERROR(VLOOKUP(ghostSpreadsheet_CO2!H30,customConversionFactors, 4, FALSE)), "", VLOOKUP(ghostSpreadsheet_CO2!H30,customConversionFactors, 4, FALSE))</f>
        <v/>
      </c>
      <c r="AR30" s="326" t="str">
        <f t="shared" si="63"/>
        <v/>
      </c>
      <c r="AS30" s="326" t="str">
        <f t="shared" si="64"/>
        <v/>
      </c>
      <c r="AT30" s="326" t="str">
        <f t="shared" si="65"/>
        <v/>
      </c>
      <c r="AU30" s="326" t="str">
        <f t="shared" si="66"/>
        <v/>
      </c>
      <c r="AV30" s="326">
        <f t="shared" si="67"/>
        <v>0</v>
      </c>
      <c r="AW30" s="326">
        <f t="shared" si="68"/>
        <v>0</v>
      </c>
      <c r="AX30" s="326">
        <f t="shared" si="69"/>
        <v>0</v>
      </c>
      <c r="AY30" s="331">
        <f t="shared" si="70"/>
        <v>0</v>
      </c>
    </row>
    <row r="31" spans="3:51" ht="13.8" thickBot="1" x14ac:dyDescent="0.3">
      <c r="C31" s="330" t="str">
        <f>IF('3. Calculator'!B32=0, "", '3. Calculator'!B32)</f>
        <v/>
      </c>
      <c r="D31" s="326" t="str">
        <f>IF('3. Calculator'!D32=0, "", '3. Calculator'!D32)</f>
        <v/>
      </c>
      <c r="E31" s="326" t="str">
        <f>IF('3. Calculator'!E32=0, "", '3. Calculator'!E32)</f>
        <v/>
      </c>
      <c r="F31" s="326">
        <f>IF('3. Calculator'!L32="", 1, IF('3. Calculator'!L32="Not applicable", 1, IF('3. Calculator'!L32="Lower", 1, VLOOKUP('3. Calculator'!E32, HVConversionValues,2,FALSE))))</f>
        <v>1</v>
      </c>
      <c r="G31" s="326" t="str">
        <f>IF('3. Calculator'!H32=0, "", '3. Calculator'!H32)</f>
        <v/>
      </c>
      <c r="H31" s="331" t="str">
        <f>IF('3. Calculator'!I32=0, "", '3. Calculator'!I32)</f>
        <v/>
      </c>
      <c r="I31" s="498" t="str">
        <f>IF(ISNA(VLOOKUP('3. Calculator'!E32,fuelInfo,3, FALSE)), "", (VLOOKUP('3. Calculator'!E32,fuelInfo,3, FALSE)))</f>
        <v/>
      </c>
      <c r="J31" s="326" t="str">
        <f>IF(ISNA(VLOOKUP('3. Calculator'!E32, fuelInfo, 4, FALSE)),"", (VLOOKUP('3. Calculator'!E32, fuelInfo, 4, FALSE)))</f>
        <v/>
      </c>
      <c r="K31" s="326" t="str">
        <f>IF(ISNA(VLOOKUP('3. Calculator'!E32, fuelInfo, 4, FALSE)),"", (F31*VLOOKUP('3. Calculator'!E32, fuelInfo, 4, FALSE)))</f>
        <v/>
      </c>
      <c r="L31" s="326" t="str">
        <f>IF(ISNA(VLOOKUP('3. Calculator'!I32,unitStates,3,FALSE)), "", (VLOOKUP('3. Calculator'!I32,unitStates,3,FALSE)))</f>
        <v/>
      </c>
      <c r="M31" s="328" t="str">
        <f>IF(D31="My fuels", "", IF(L31=0, VLOOKUP('3. Calculator'!I29, energyEFs,3,FALSE),""))</f>
        <v/>
      </c>
      <c r="N31" s="427" t="str">
        <f t="shared" si="39"/>
        <v/>
      </c>
      <c r="O31" s="328" t="str">
        <f t="shared" si="40"/>
        <v/>
      </c>
      <c r="P31" s="328" t="str">
        <f t="shared" si="41"/>
        <v/>
      </c>
      <c r="Q31" s="328" t="str">
        <f t="shared" si="42"/>
        <v/>
      </c>
      <c r="R31" s="328" t="str">
        <f t="shared" si="43"/>
        <v/>
      </c>
      <c r="S31" s="326" t="str">
        <f>IF(D31="My fuels", "", IF(L31=1, VLOOKUP('3. Calculator'!I32, solidEFs,3,FALSE),""))</f>
        <v/>
      </c>
      <c r="T31" s="326" t="str">
        <f t="shared" si="44"/>
        <v/>
      </c>
      <c r="U31" s="326" t="str">
        <f t="shared" si="45"/>
        <v/>
      </c>
      <c r="V31" s="326" t="str">
        <f t="shared" si="46"/>
        <v/>
      </c>
      <c r="W31" s="326" t="str">
        <f t="shared" si="47"/>
        <v/>
      </c>
      <c r="X31" s="326" t="str">
        <f>IF(D31="My fuels","",(IF(L31=2,VLOOKUP('3. Calculator'!E32,liquidLiterEFs,2,FALSE),"")))</f>
        <v/>
      </c>
      <c r="Y31" s="326" t="str">
        <f>+IF(X31="", "", IF(ISNA(VLOOKUP('3. Calculator'!I32,unitStates,4, FALSE)), "", (VLOOKUP('3. Calculator'!I32,unitStates,4, FALSE))))</f>
        <v/>
      </c>
      <c r="Z31" s="326" t="str">
        <f t="shared" si="48"/>
        <v/>
      </c>
      <c r="AA31" s="326" t="str">
        <f t="shared" si="49"/>
        <v/>
      </c>
      <c r="AB31" s="326" t="str">
        <f t="shared" si="50"/>
        <v/>
      </c>
      <c r="AC31" s="326" t="str">
        <f t="shared" si="51"/>
        <v/>
      </c>
      <c r="AD31" s="326" t="str">
        <f t="shared" si="52"/>
        <v/>
      </c>
      <c r="AE31" s="326" t="str">
        <f t="shared" si="53"/>
        <v/>
      </c>
      <c r="AF31" s="326" t="str">
        <f t="shared" si="54"/>
        <v/>
      </c>
      <c r="AG31" s="326" t="str">
        <f>IF(D31="My fuels", "", IF(L31=3, VLOOKUP('3. Calculator'!E32, gasMeter3EFs,2,FALSE),""))</f>
        <v/>
      </c>
      <c r="AH31" s="326" t="str">
        <f>+IF(AG31="", "", IF(ISNA(VLOOKUP('3. Calculator'!I32,unitStates,5, FALSE)), "", (VLOOKUP('3. Calculator'!I32,unitStates,5, FALSE))))</f>
        <v/>
      </c>
      <c r="AI31" s="326" t="str">
        <f t="shared" si="55"/>
        <v/>
      </c>
      <c r="AJ31" s="326" t="str">
        <f t="shared" si="56"/>
        <v/>
      </c>
      <c r="AK31" s="326" t="str">
        <f t="shared" si="57"/>
        <v/>
      </c>
      <c r="AL31" s="326" t="str">
        <f t="shared" si="58"/>
        <v/>
      </c>
      <c r="AM31" s="326" t="str">
        <f t="shared" si="59"/>
        <v/>
      </c>
      <c r="AN31" s="326" t="str">
        <f t="shared" si="60"/>
        <v/>
      </c>
      <c r="AO31" s="326" t="str">
        <f t="shared" si="61"/>
        <v/>
      </c>
      <c r="AP31" s="326" t="str">
        <f t="shared" si="62"/>
        <v/>
      </c>
      <c r="AQ31" s="326" t="str">
        <f>+IF(ISERROR(VLOOKUP(ghostSpreadsheet_CO2!H31,customConversionFactors, 4, FALSE)), "", VLOOKUP(ghostSpreadsheet_CO2!H31,customConversionFactors, 4, FALSE))</f>
        <v/>
      </c>
      <c r="AR31" s="326" t="str">
        <f t="shared" si="63"/>
        <v/>
      </c>
      <c r="AS31" s="326" t="str">
        <f t="shared" si="64"/>
        <v/>
      </c>
      <c r="AT31" s="326" t="str">
        <f t="shared" si="65"/>
        <v/>
      </c>
      <c r="AU31" s="326" t="str">
        <f t="shared" si="66"/>
        <v/>
      </c>
      <c r="AV31" s="326">
        <f t="shared" si="67"/>
        <v>0</v>
      </c>
      <c r="AW31" s="326">
        <f t="shared" si="68"/>
        <v>0</v>
      </c>
      <c r="AX31" s="326">
        <f t="shared" si="69"/>
        <v>0</v>
      </c>
      <c r="AY31" s="331">
        <f t="shared" si="70"/>
        <v>0</v>
      </c>
    </row>
    <row r="32" spans="3:51" ht="13.8" thickBot="1" x14ac:dyDescent="0.3">
      <c r="C32" s="330" t="str">
        <f>IF('3. Calculator'!B33=0, "", '3. Calculator'!B33)</f>
        <v/>
      </c>
      <c r="D32" s="326" t="str">
        <f>IF('3. Calculator'!D33=0, "", '3. Calculator'!D33)</f>
        <v/>
      </c>
      <c r="E32" s="326" t="str">
        <f>IF('3. Calculator'!E33=0, "", '3. Calculator'!E33)</f>
        <v/>
      </c>
      <c r="F32" s="326">
        <f>IF('3. Calculator'!L33="", 1, IF('3. Calculator'!L33="Not applicable", 1, IF('3. Calculator'!L33="Lower", 1, VLOOKUP('3. Calculator'!E33, HVConversionValues,2,FALSE))))</f>
        <v>1</v>
      </c>
      <c r="G32" s="326" t="str">
        <f>IF('3. Calculator'!H33=0, "", '3. Calculator'!H33)</f>
        <v/>
      </c>
      <c r="H32" s="331" t="str">
        <f>IF('3. Calculator'!I33=0, "", '3. Calculator'!I33)</f>
        <v/>
      </c>
      <c r="I32" s="498" t="str">
        <f>IF(ISNA(VLOOKUP('3. Calculator'!E33,fuelInfo,3, FALSE)), "", (VLOOKUP('3. Calculator'!E33,fuelInfo,3, FALSE)))</f>
        <v/>
      </c>
      <c r="J32" s="326" t="str">
        <f>IF(ISNA(VLOOKUP('3. Calculator'!E33, fuelInfo, 4, FALSE)),"", (VLOOKUP('3. Calculator'!E33, fuelInfo, 4, FALSE)))</f>
        <v/>
      </c>
      <c r="K32" s="326" t="str">
        <f>IF(ISNA(VLOOKUP('3. Calculator'!E33, fuelInfo, 4, FALSE)),"", (F32*VLOOKUP('3. Calculator'!E33, fuelInfo, 4, FALSE)))</f>
        <v/>
      </c>
      <c r="L32" s="326" t="str">
        <f>IF(ISNA(VLOOKUP('3. Calculator'!I33,unitStates,3,FALSE)), "", (VLOOKUP('3. Calculator'!I33,unitStates,3,FALSE)))</f>
        <v/>
      </c>
      <c r="M32" s="328" t="str">
        <f>IF(D32="My fuels", "", IF(L32=0, VLOOKUP('3. Calculator'!I30, energyEFs,3,FALSE),""))</f>
        <v/>
      </c>
      <c r="N32" s="427" t="str">
        <f t="shared" si="39"/>
        <v/>
      </c>
      <c r="O32" s="328" t="str">
        <f t="shared" si="40"/>
        <v/>
      </c>
      <c r="P32" s="328" t="str">
        <f t="shared" si="41"/>
        <v/>
      </c>
      <c r="Q32" s="328" t="str">
        <f t="shared" si="42"/>
        <v/>
      </c>
      <c r="R32" s="328" t="str">
        <f t="shared" si="43"/>
        <v/>
      </c>
      <c r="S32" s="326" t="str">
        <f>IF(D32="My fuels", "", IF(L32=1, VLOOKUP('3. Calculator'!I33, solidEFs,3,FALSE),""))</f>
        <v/>
      </c>
      <c r="T32" s="326" t="str">
        <f t="shared" si="44"/>
        <v/>
      </c>
      <c r="U32" s="326" t="str">
        <f t="shared" si="45"/>
        <v/>
      </c>
      <c r="V32" s="326" t="str">
        <f t="shared" si="46"/>
        <v/>
      </c>
      <c r="W32" s="326" t="str">
        <f t="shared" si="47"/>
        <v/>
      </c>
      <c r="X32" s="326" t="str">
        <f>IF(D32="My fuels","",(IF(L32=2,VLOOKUP('3. Calculator'!E33,liquidLiterEFs,2,FALSE),"")))</f>
        <v/>
      </c>
      <c r="Y32" s="326" t="str">
        <f>+IF(X32="", "", IF(ISNA(VLOOKUP('3. Calculator'!I33,unitStates,4, FALSE)), "", (VLOOKUP('3. Calculator'!I33,unitStates,4, FALSE))))</f>
        <v/>
      </c>
      <c r="Z32" s="326" t="str">
        <f t="shared" si="48"/>
        <v/>
      </c>
      <c r="AA32" s="326" t="str">
        <f t="shared" si="49"/>
        <v/>
      </c>
      <c r="AB32" s="326" t="str">
        <f t="shared" si="50"/>
        <v/>
      </c>
      <c r="AC32" s="326" t="str">
        <f t="shared" si="51"/>
        <v/>
      </c>
      <c r="AD32" s="326" t="str">
        <f t="shared" si="52"/>
        <v/>
      </c>
      <c r="AE32" s="326" t="str">
        <f t="shared" si="53"/>
        <v/>
      </c>
      <c r="AF32" s="326" t="str">
        <f t="shared" si="54"/>
        <v/>
      </c>
      <c r="AG32" s="326" t="str">
        <f>IF(D32="My fuels", "", IF(L32=3, VLOOKUP('3. Calculator'!E33, gasMeter3EFs,2,FALSE),""))</f>
        <v/>
      </c>
      <c r="AH32" s="326" t="str">
        <f>+IF(AG32="", "", IF(ISNA(VLOOKUP('3. Calculator'!I33,unitStates,5, FALSE)), "", (VLOOKUP('3. Calculator'!I33,unitStates,5, FALSE))))</f>
        <v/>
      </c>
      <c r="AI32" s="326" t="str">
        <f t="shared" si="55"/>
        <v/>
      </c>
      <c r="AJ32" s="326" t="str">
        <f t="shared" si="56"/>
        <v/>
      </c>
      <c r="AK32" s="326" t="str">
        <f t="shared" si="57"/>
        <v/>
      </c>
      <c r="AL32" s="326" t="str">
        <f t="shared" si="58"/>
        <v/>
      </c>
      <c r="AM32" s="326" t="str">
        <f t="shared" si="59"/>
        <v/>
      </c>
      <c r="AN32" s="326" t="str">
        <f t="shared" si="60"/>
        <v/>
      </c>
      <c r="AO32" s="326" t="str">
        <f t="shared" si="61"/>
        <v/>
      </c>
      <c r="AP32" s="326" t="str">
        <f t="shared" si="62"/>
        <v/>
      </c>
      <c r="AQ32" s="326" t="str">
        <f>+IF(ISERROR(VLOOKUP(ghostSpreadsheet_CO2!H32,customConversionFactors, 4, FALSE)), "", VLOOKUP(ghostSpreadsheet_CO2!H32,customConversionFactors, 4, FALSE))</f>
        <v/>
      </c>
      <c r="AR32" s="326" t="str">
        <f t="shared" si="63"/>
        <v/>
      </c>
      <c r="AS32" s="326" t="str">
        <f t="shared" si="64"/>
        <v/>
      </c>
      <c r="AT32" s="326" t="str">
        <f t="shared" si="65"/>
        <v/>
      </c>
      <c r="AU32" s="326" t="str">
        <f t="shared" si="66"/>
        <v/>
      </c>
      <c r="AV32" s="326">
        <f t="shared" si="67"/>
        <v>0</v>
      </c>
      <c r="AW32" s="326">
        <f t="shared" si="68"/>
        <v>0</v>
      </c>
      <c r="AX32" s="326">
        <f t="shared" si="69"/>
        <v>0</v>
      </c>
      <c r="AY32" s="331">
        <f t="shared" si="70"/>
        <v>0</v>
      </c>
    </row>
    <row r="33" spans="3:52" ht="13.8" thickBot="1" x14ac:dyDescent="0.3">
      <c r="C33" s="330" t="str">
        <f>IF('3. Calculator'!B34=0, "", '3. Calculator'!B34)</f>
        <v/>
      </c>
      <c r="D33" s="326" t="str">
        <f>IF('3. Calculator'!D34=0, "", '3. Calculator'!D34)</f>
        <v/>
      </c>
      <c r="E33" s="326" t="str">
        <f>IF('3. Calculator'!E34=0, "", '3. Calculator'!E34)</f>
        <v/>
      </c>
      <c r="F33" s="326">
        <f>IF('3. Calculator'!L34="", 1, IF('3. Calculator'!L34="Not applicable", 1, IF('3. Calculator'!L34="Lower", 1, VLOOKUP('3. Calculator'!E34, HVConversionValues,2,FALSE))))</f>
        <v>1</v>
      </c>
      <c r="G33" s="326" t="str">
        <f>IF('3. Calculator'!H34=0, "", '3. Calculator'!H34)</f>
        <v/>
      </c>
      <c r="H33" s="331" t="str">
        <f>IF('3. Calculator'!I34=0, "", '3. Calculator'!I34)</f>
        <v/>
      </c>
      <c r="I33" s="498" t="str">
        <f>IF(ISNA(VLOOKUP('3. Calculator'!E34,fuelInfo,3, FALSE)), "", (VLOOKUP('3. Calculator'!E34,fuelInfo,3, FALSE)))</f>
        <v/>
      </c>
      <c r="J33" s="326" t="str">
        <f>IF(ISNA(VLOOKUP('3. Calculator'!E34, fuelInfo, 4, FALSE)),"", (VLOOKUP('3. Calculator'!E34, fuelInfo, 4, FALSE)))</f>
        <v/>
      </c>
      <c r="K33" s="326" t="str">
        <f>IF(ISNA(VLOOKUP('3. Calculator'!E34, fuelInfo, 4, FALSE)),"", (F33*VLOOKUP('3. Calculator'!E34, fuelInfo, 4, FALSE)))</f>
        <v/>
      </c>
      <c r="L33" s="326" t="str">
        <f>IF(ISNA(VLOOKUP('3. Calculator'!I34,unitStates,3,FALSE)), "", (VLOOKUP('3. Calculator'!I34,unitStates,3,FALSE)))</f>
        <v/>
      </c>
      <c r="M33" s="328" t="str">
        <f>IF(D33="My fuels", "", IF(L33=0, VLOOKUP('3. Calculator'!I31, energyEFs,3,FALSE),""))</f>
        <v/>
      </c>
      <c r="N33" s="427" t="str">
        <f t="shared" si="39"/>
        <v/>
      </c>
      <c r="O33" s="328" t="str">
        <f t="shared" si="40"/>
        <v/>
      </c>
      <c r="P33" s="328" t="str">
        <f t="shared" si="41"/>
        <v/>
      </c>
      <c r="Q33" s="328" t="str">
        <f t="shared" si="42"/>
        <v/>
      </c>
      <c r="R33" s="328" t="str">
        <f t="shared" si="43"/>
        <v/>
      </c>
      <c r="S33" s="326" t="str">
        <f>IF(D33="My fuels", "", IF(L33=1, VLOOKUP('3. Calculator'!I34, solidEFs,3,FALSE),""))</f>
        <v/>
      </c>
      <c r="T33" s="326" t="str">
        <f t="shared" si="44"/>
        <v/>
      </c>
      <c r="U33" s="326" t="str">
        <f t="shared" si="45"/>
        <v/>
      </c>
      <c r="V33" s="326" t="str">
        <f t="shared" si="46"/>
        <v/>
      </c>
      <c r="W33" s="326" t="str">
        <f t="shared" si="47"/>
        <v/>
      </c>
      <c r="X33" s="326" t="str">
        <f>IF(D33="My fuels","",(IF(L33=2,VLOOKUP('3. Calculator'!E34,liquidLiterEFs,2,FALSE),"")))</f>
        <v/>
      </c>
      <c r="Y33" s="326" t="str">
        <f>+IF(X33="", "", IF(ISNA(VLOOKUP('3. Calculator'!I34,unitStates,4, FALSE)), "", (VLOOKUP('3. Calculator'!I34,unitStates,4, FALSE))))</f>
        <v/>
      </c>
      <c r="Z33" s="326" t="str">
        <f t="shared" si="48"/>
        <v/>
      </c>
      <c r="AA33" s="326" t="str">
        <f t="shared" si="49"/>
        <v/>
      </c>
      <c r="AB33" s="326" t="str">
        <f t="shared" si="50"/>
        <v/>
      </c>
      <c r="AC33" s="326" t="str">
        <f t="shared" si="51"/>
        <v/>
      </c>
      <c r="AD33" s="326" t="str">
        <f t="shared" si="52"/>
        <v/>
      </c>
      <c r="AE33" s="326" t="str">
        <f t="shared" si="53"/>
        <v/>
      </c>
      <c r="AF33" s="326" t="str">
        <f t="shared" si="54"/>
        <v/>
      </c>
      <c r="AG33" s="326" t="str">
        <f>IF(D33="My fuels", "", IF(L33=3, VLOOKUP('3. Calculator'!E34, gasMeter3EFs,2,FALSE),""))</f>
        <v/>
      </c>
      <c r="AH33" s="326" t="str">
        <f>+IF(AG33="", "", IF(ISNA(VLOOKUP('3. Calculator'!I34,unitStates,5, FALSE)), "", (VLOOKUP('3. Calculator'!I34,unitStates,5, FALSE))))</f>
        <v/>
      </c>
      <c r="AI33" s="326" t="str">
        <f t="shared" si="55"/>
        <v/>
      </c>
      <c r="AJ33" s="326" t="str">
        <f t="shared" si="56"/>
        <v/>
      </c>
      <c r="AK33" s="326" t="str">
        <f t="shared" si="57"/>
        <v/>
      </c>
      <c r="AL33" s="326" t="str">
        <f t="shared" si="58"/>
        <v/>
      </c>
      <c r="AM33" s="326" t="str">
        <f t="shared" si="59"/>
        <v/>
      </c>
      <c r="AN33" s="326" t="str">
        <f t="shared" si="60"/>
        <v/>
      </c>
      <c r="AO33" s="326" t="str">
        <f t="shared" si="61"/>
        <v/>
      </c>
      <c r="AP33" s="326" t="str">
        <f t="shared" si="62"/>
        <v/>
      </c>
      <c r="AQ33" s="326" t="str">
        <f>+IF(ISERROR(VLOOKUP(ghostSpreadsheet_CO2!H33,customConversionFactors, 4, FALSE)), "", VLOOKUP(ghostSpreadsheet_CO2!H33,customConversionFactors, 4, FALSE))</f>
        <v/>
      </c>
      <c r="AR33" s="326" t="str">
        <f t="shared" si="63"/>
        <v/>
      </c>
      <c r="AS33" s="326" t="str">
        <f t="shared" si="64"/>
        <v/>
      </c>
      <c r="AT33" s="326" t="str">
        <f t="shared" si="65"/>
        <v/>
      </c>
      <c r="AU33" s="326" t="str">
        <f t="shared" si="66"/>
        <v/>
      </c>
      <c r="AV33" s="326">
        <f t="shared" si="67"/>
        <v>0</v>
      </c>
      <c r="AW33" s="326">
        <f t="shared" si="68"/>
        <v>0</v>
      </c>
      <c r="AX33" s="326">
        <f t="shared" si="69"/>
        <v>0</v>
      </c>
      <c r="AY33" s="331">
        <f t="shared" si="70"/>
        <v>0</v>
      </c>
    </row>
    <row r="34" spans="3:52" ht="13.8" thickBot="1" x14ac:dyDescent="0.3">
      <c r="C34" s="330" t="str">
        <f>IF('3. Calculator'!B35=0, "", '3. Calculator'!B35)</f>
        <v/>
      </c>
      <c r="D34" s="326" t="str">
        <f>IF('3. Calculator'!D35=0, "", '3. Calculator'!D35)</f>
        <v/>
      </c>
      <c r="E34" s="326" t="str">
        <f>IF('3. Calculator'!E35=0, "", '3. Calculator'!E35)</f>
        <v/>
      </c>
      <c r="F34" s="326">
        <f>IF('3. Calculator'!L35="", 1, IF('3. Calculator'!L35="Not applicable", 1, IF('3. Calculator'!L35="Lower", 1, VLOOKUP('3. Calculator'!E35, HVConversionValues,2,FALSE))))</f>
        <v>1</v>
      </c>
      <c r="G34" s="326" t="str">
        <f>IF('3. Calculator'!H35=0, "", '3. Calculator'!H35)</f>
        <v/>
      </c>
      <c r="H34" s="331" t="str">
        <f>IF('3. Calculator'!I35=0, "", '3. Calculator'!I35)</f>
        <v/>
      </c>
      <c r="I34" s="498" t="str">
        <f>IF(ISNA(VLOOKUP('3. Calculator'!E35,fuelInfo,3, FALSE)), "", (VLOOKUP('3. Calculator'!E35,fuelInfo,3, FALSE)))</f>
        <v/>
      </c>
      <c r="J34" s="326" t="str">
        <f>IF(ISNA(VLOOKUP('3. Calculator'!E35, fuelInfo, 4, FALSE)),"", (VLOOKUP('3. Calculator'!E35, fuelInfo, 4, FALSE)))</f>
        <v/>
      </c>
      <c r="K34" s="326" t="str">
        <f>IF(ISNA(VLOOKUP('3. Calculator'!E35, fuelInfo, 4, FALSE)),"", (F34*VLOOKUP('3. Calculator'!E35, fuelInfo, 4, FALSE)))</f>
        <v/>
      </c>
      <c r="L34" s="326" t="str">
        <f>IF(ISNA(VLOOKUP('3. Calculator'!I35,unitStates,3,FALSE)), "", (VLOOKUP('3. Calculator'!I35,unitStates,3,FALSE)))</f>
        <v/>
      </c>
      <c r="M34" s="328" t="str">
        <f>IF(D34="My fuels", "", IF(L34=0, VLOOKUP('3. Calculator'!I32, energyEFs,3,FALSE),""))</f>
        <v/>
      </c>
      <c r="N34" s="427" t="str">
        <f t="shared" si="39"/>
        <v/>
      </c>
      <c r="O34" s="328" t="str">
        <f t="shared" si="40"/>
        <v/>
      </c>
      <c r="P34" s="328" t="str">
        <f t="shared" si="41"/>
        <v/>
      </c>
      <c r="Q34" s="328" t="str">
        <f t="shared" si="42"/>
        <v/>
      </c>
      <c r="R34" s="328" t="str">
        <f t="shared" si="43"/>
        <v/>
      </c>
      <c r="S34" s="326" t="str">
        <f>IF(D34="My fuels", "", IF(L34=1, VLOOKUP('3. Calculator'!I35, solidEFs,3,FALSE),""))</f>
        <v/>
      </c>
      <c r="T34" s="326" t="str">
        <f t="shared" si="44"/>
        <v/>
      </c>
      <c r="U34" s="326" t="str">
        <f t="shared" si="45"/>
        <v/>
      </c>
      <c r="V34" s="326" t="str">
        <f t="shared" si="46"/>
        <v/>
      </c>
      <c r="W34" s="326" t="str">
        <f t="shared" si="47"/>
        <v/>
      </c>
      <c r="X34" s="326" t="str">
        <f>IF(D34="My fuels","",(IF(L34=2,VLOOKUP('3. Calculator'!E35,liquidLiterEFs,2,FALSE),"")))</f>
        <v/>
      </c>
      <c r="Y34" s="326" t="str">
        <f>+IF(X34="", "", IF(ISNA(VLOOKUP('3. Calculator'!I35,unitStates,4, FALSE)), "", (VLOOKUP('3. Calculator'!I35,unitStates,4, FALSE))))</f>
        <v/>
      </c>
      <c r="Z34" s="326" t="str">
        <f t="shared" si="48"/>
        <v/>
      </c>
      <c r="AA34" s="326" t="str">
        <f t="shared" si="49"/>
        <v/>
      </c>
      <c r="AB34" s="326" t="str">
        <f t="shared" si="50"/>
        <v/>
      </c>
      <c r="AC34" s="326" t="str">
        <f t="shared" si="51"/>
        <v/>
      </c>
      <c r="AD34" s="326" t="str">
        <f t="shared" si="52"/>
        <v/>
      </c>
      <c r="AE34" s="326" t="str">
        <f t="shared" si="53"/>
        <v/>
      </c>
      <c r="AF34" s="326" t="str">
        <f t="shared" si="54"/>
        <v/>
      </c>
      <c r="AG34" s="326" t="str">
        <f>IF(D34="My fuels", "", IF(L34=3, VLOOKUP('3. Calculator'!E35, gasMeter3EFs,2,FALSE),""))</f>
        <v/>
      </c>
      <c r="AH34" s="326" t="str">
        <f>+IF(AG34="", "", IF(ISNA(VLOOKUP('3. Calculator'!I35,unitStates,5, FALSE)), "", (VLOOKUP('3. Calculator'!I35,unitStates,5, FALSE))))</f>
        <v/>
      </c>
      <c r="AI34" s="326" t="str">
        <f t="shared" si="55"/>
        <v/>
      </c>
      <c r="AJ34" s="326" t="str">
        <f t="shared" si="56"/>
        <v/>
      </c>
      <c r="AK34" s="326" t="str">
        <f t="shared" si="57"/>
        <v/>
      </c>
      <c r="AL34" s="326" t="str">
        <f t="shared" si="58"/>
        <v/>
      </c>
      <c r="AM34" s="326" t="str">
        <f t="shared" si="59"/>
        <v/>
      </c>
      <c r="AN34" s="326" t="str">
        <f t="shared" si="60"/>
        <v/>
      </c>
      <c r="AO34" s="326" t="str">
        <f t="shared" si="61"/>
        <v/>
      </c>
      <c r="AP34" s="326" t="str">
        <f t="shared" si="62"/>
        <v/>
      </c>
      <c r="AQ34" s="326" t="str">
        <f>+IF(ISERROR(VLOOKUP(ghostSpreadsheet_CO2!H34,customConversionFactors, 4, FALSE)), "", VLOOKUP(ghostSpreadsheet_CO2!H34,customConversionFactors, 4, FALSE))</f>
        <v/>
      </c>
      <c r="AR34" s="326" t="str">
        <f t="shared" si="63"/>
        <v/>
      </c>
      <c r="AS34" s="326" t="str">
        <f t="shared" si="64"/>
        <v/>
      </c>
      <c r="AT34" s="326" t="str">
        <f t="shared" si="65"/>
        <v/>
      </c>
      <c r="AU34" s="326" t="str">
        <f t="shared" si="66"/>
        <v/>
      </c>
      <c r="AV34" s="326">
        <f t="shared" si="67"/>
        <v>0</v>
      </c>
      <c r="AW34" s="326">
        <f t="shared" si="68"/>
        <v>0</v>
      </c>
      <c r="AX34" s="326">
        <f t="shared" si="69"/>
        <v>0</v>
      </c>
      <c r="AY34" s="331">
        <f t="shared" si="70"/>
        <v>0</v>
      </c>
    </row>
    <row r="35" spans="3:52" ht="13.8" thickBot="1" x14ac:dyDescent="0.3">
      <c r="C35" s="332"/>
      <c r="D35" s="333" t="s">
        <v>228</v>
      </c>
      <c r="E35" s="333"/>
      <c r="F35" s="333"/>
      <c r="G35" s="333"/>
      <c r="H35" s="333"/>
      <c r="I35" s="333"/>
      <c r="J35" s="333"/>
      <c r="K35" s="333"/>
      <c r="L35" s="333"/>
      <c r="M35" s="333"/>
      <c r="N35" s="426"/>
      <c r="O35" s="333"/>
      <c r="P35" s="333"/>
      <c r="Q35" s="333">
        <f>SUM(Q10:Q34)</f>
        <v>0</v>
      </c>
      <c r="R35" s="334">
        <f>SUM(R10:R34)</f>
        <v>0</v>
      </c>
      <c r="S35" s="333"/>
      <c r="T35" s="333"/>
      <c r="U35" s="333"/>
      <c r="V35" s="333">
        <f>SUM(V10:V34)</f>
        <v>0</v>
      </c>
      <c r="W35" s="334">
        <f>SUM(W10:W34)</f>
        <v>0</v>
      </c>
      <c r="X35" s="335"/>
      <c r="Y35" s="336"/>
      <c r="Z35" s="336"/>
      <c r="AA35" s="336"/>
      <c r="AB35" s="336"/>
      <c r="AC35" s="336"/>
      <c r="AD35" s="336"/>
      <c r="AE35" s="336">
        <f>SUM(AE10:AE34)</f>
        <v>0</v>
      </c>
      <c r="AF35" s="334">
        <f>SUM(AF10:AF34)</f>
        <v>0</v>
      </c>
      <c r="AG35" s="336"/>
      <c r="AH35" s="336"/>
      <c r="AI35" s="336"/>
      <c r="AJ35" s="336"/>
      <c r="AK35" s="336"/>
      <c r="AL35" s="336">
        <f>SUM(AL10:AL34)</f>
        <v>0</v>
      </c>
      <c r="AM35" s="337">
        <f>SUM(AM10:AM34)</f>
        <v>0</v>
      </c>
      <c r="AN35" s="338"/>
      <c r="AO35" s="338"/>
      <c r="AP35" s="338"/>
      <c r="AQ35" s="338"/>
      <c r="AR35" s="338"/>
      <c r="AS35" s="338"/>
      <c r="AT35" s="338">
        <f>SUM(AT10:AT34)</f>
        <v>0</v>
      </c>
      <c r="AU35" s="337">
        <f>SUM(AU10:AU34)</f>
        <v>0</v>
      </c>
      <c r="AV35" s="339">
        <f>SUM(AV10:AV34)</f>
        <v>0</v>
      </c>
      <c r="AW35" s="339">
        <f>SUM(AW10:AW34)</f>
        <v>0</v>
      </c>
      <c r="AX35" s="339">
        <f>SUM(AX10:AX34)</f>
        <v>0</v>
      </c>
      <c r="AY35" s="340">
        <f>+AV35-AW35</f>
        <v>0</v>
      </c>
      <c r="AZ35" s="29"/>
    </row>
    <row r="36" spans="3:52" ht="13.8" thickBot="1" x14ac:dyDescent="0.3">
      <c r="C36" s="4"/>
      <c r="D36" s="5"/>
      <c r="E36" s="5"/>
      <c r="F36" s="5"/>
      <c r="G36" s="5"/>
      <c r="H36" s="5"/>
      <c r="I36" s="5"/>
      <c r="J36" s="5"/>
      <c r="K36" s="5"/>
      <c r="L36" s="5"/>
      <c r="M36" s="5"/>
      <c r="N36" s="277"/>
      <c r="O36" s="5"/>
      <c r="P36" s="5"/>
      <c r="Q36" s="5"/>
      <c r="R36" s="5"/>
      <c r="S36" s="5"/>
      <c r="T36" s="5"/>
      <c r="U36" s="5"/>
      <c r="V36" s="5"/>
      <c r="W36" s="5"/>
      <c r="X36" s="5"/>
      <c r="Y36" s="5"/>
      <c r="Z36" s="5"/>
      <c r="AA36" s="5"/>
      <c r="AB36" s="5"/>
      <c r="AC36" s="5"/>
      <c r="AD36" s="5"/>
      <c r="AE36" s="5"/>
      <c r="AF36" s="5"/>
      <c r="AG36" s="5"/>
      <c r="AH36" s="5"/>
      <c r="AI36" s="5"/>
      <c r="AJ36" s="5"/>
      <c r="AK36" s="5"/>
      <c r="AL36" s="5"/>
      <c r="AM36" s="5"/>
      <c r="AN36" s="4"/>
      <c r="AO36" s="5"/>
      <c r="AP36" s="5"/>
      <c r="AQ36" s="5"/>
      <c r="AR36" s="5"/>
      <c r="AS36" s="5"/>
      <c r="AT36" s="5"/>
      <c r="AU36" s="6"/>
      <c r="AX36" s="11"/>
    </row>
    <row r="37" spans="3:52" x14ac:dyDescent="0.25">
      <c r="AX37" s="11"/>
      <c r="AY37" s="11"/>
    </row>
    <row r="38" spans="3:52" ht="13.8" thickBot="1" x14ac:dyDescent="0.3">
      <c r="I38" s="29" t="s">
        <v>598</v>
      </c>
      <c r="J38">
        <f>+G39-AW35</f>
        <v>0</v>
      </c>
    </row>
    <row r="39" spans="3:52" ht="13.8" thickBot="1" x14ac:dyDescent="0.3">
      <c r="D39" s="10" t="s">
        <v>353</v>
      </c>
      <c r="E39" s="20"/>
      <c r="F39" s="20"/>
      <c r="G39" s="89">
        <f>Q35+V35+AE35+AL35+AT35</f>
        <v>0</v>
      </c>
      <c r="H39" s="14" t="s">
        <v>229</v>
      </c>
      <c r="I39" s="29" t="s">
        <v>598</v>
      </c>
      <c r="J39">
        <f>+G40-AX35</f>
        <v>0</v>
      </c>
    </row>
    <row r="40" spans="3:52" ht="13.8" thickBot="1" x14ac:dyDescent="0.3">
      <c r="D40" s="13" t="s">
        <v>227</v>
      </c>
      <c r="E40" s="5"/>
      <c r="F40" s="5"/>
      <c r="G40" s="88">
        <f>R35+W35+AF35+AM35+AU35</f>
        <v>0</v>
      </c>
      <c r="H40" s="6" t="s">
        <v>229</v>
      </c>
    </row>
  </sheetData>
  <mergeCells count="10">
    <mergeCell ref="AV8:AY8"/>
    <mergeCell ref="C2:P2"/>
    <mergeCell ref="C3:P3"/>
    <mergeCell ref="C8:H8"/>
    <mergeCell ref="M8:R8"/>
    <mergeCell ref="I8:L8"/>
    <mergeCell ref="AN8:AU8"/>
    <mergeCell ref="S8:W8"/>
    <mergeCell ref="X8:AF8"/>
    <mergeCell ref="AG8:AM8"/>
  </mergeCells>
  <phoneticPr fontId="3"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59999389629810485"/>
  </sheetPr>
  <dimension ref="B1:AI37"/>
  <sheetViews>
    <sheetView workbookViewId="0">
      <selection activeCell="J10" sqref="J10"/>
    </sheetView>
  </sheetViews>
  <sheetFormatPr defaultRowHeight="13.2" x14ac:dyDescent="0.25"/>
  <cols>
    <col min="3" max="3" width="14.109375" customWidth="1"/>
    <col min="4" max="4" width="24.33203125" customWidth="1"/>
    <col min="5" max="5" width="16.44140625" customWidth="1"/>
    <col min="6" max="6" width="9.33203125" bestFit="1" customWidth="1"/>
    <col min="7" max="7" width="14.33203125" customWidth="1"/>
    <col min="8" max="8" width="16.109375" customWidth="1"/>
    <col min="9" max="9" width="19.6640625" customWidth="1"/>
    <col min="10" max="10" width="21.88671875" customWidth="1"/>
    <col min="11" max="11" width="19.6640625" customWidth="1"/>
    <col min="12" max="12" width="24.109375" customWidth="1"/>
    <col min="13" max="13" width="25.88671875" customWidth="1"/>
    <col min="14" max="14" width="23.33203125" customWidth="1"/>
    <col min="15" max="15" width="22.44140625" customWidth="1"/>
    <col min="16" max="16" width="25.109375" customWidth="1"/>
    <col min="17" max="17" width="25.44140625" customWidth="1"/>
    <col min="18" max="18" width="16.109375" customWidth="1"/>
    <col min="19" max="19" width="15" customWidth="1"/>
    <col min="20" max="20" width="15.88671875" customWidth="1"/>
    <col min="21" max="21" width="16.33203125" customWidth="1"/>
    <col min="22" max="22" width="15.109375" customWidth="1"/>
    <col min="23" max="23" width="18.109375" customWidth="1"/>
    <col min="24" max="24" width="15.88671875" customWidth="1"/>
    <col min="25" max="25" width="15.33203125" customWidth="1"/>
    <col min="26" max="26" width="17.5546875" customWidth="1"/>
    <col min="27" max="27" width="16.5546875" customWidth="1"/>
    <col min="28" max="29" width="17" customWidth="1"/>
    <col min="30" max="30" width="21.33203125" customWidth="1"/>
    <col min="31" max="33" width="17" customWidth="1"/>
    <col min="34" max="34" width="22" customWidth="1"/>
  </cols>
  <sheetData>
    <row r="1" spans="2:34" ht="13.8" thickBot="1" x14ac:dyDescent="0.3"/>
    <row r="2" spans="2:34" ht="18.600000000000001" thickBot="1" x14ac:dyDescent="0.45">
      <c r="B2" s="708" t="s">
        <v>699</v>
      </c>
      <c r="C2" s="709"/>
      <c r="D2" s="709"/>
      <c r="E2" s="709"/>
      <c r="F2" s="709"/>
      <c r="G2" s="709"/>
      <c r="H2" s="709"/>
      <c r="I2" s="709"/>
      <c r="J2" s="709"/>
      <c r="K2" s="709"/>
      <c r="L2" s="709"/>
      <c r="M2" s="709"/>
      <c r="N2" s="709"/>
      <c r="O2" s="709"/>
      <c r="P2" s="733"/>
    </row>
    <row r="3" spans="2:34" ht="37.5" customHeight="1" thickBot="1" x14ac:dyDescent="0.3">
      <c r="B3" s="734" t="s">
        <v>244</v>
      </c>
      <c r="C3" s="735"/>
      <c r="D3" s="735"/>
      <c r="E3" s="735"/>
      <c r="F3" s="735"/>
      <c r="G3" s="735"/>
      <c r="H3" s="735"/>
      <c r="I3" s="735"/>
      <c r="J3" s="735"/>
      <c r="K3" s="735"/>
      <c r="L3" s="735"/>
      <c r="M3" s="735"/>
      <c r="N3" s="735"/>
      <c r="O3" s="735"/>
      <c r="P3" s="736"/>
    </row>
    <row r="4" spans="2:34" ht="37.5" customHeight="1" x14ac:dyDescent="0.25">
      <c r="B4" s="117"/>
      <c r="C4" s="117"/>
      <c r="D4" s="117"/>
      <c r="E4" s="117"/>
      <c r="F4" s="117"/>
      <c r="G4" s="117"/>
      <c r="H4" s="117"/>
      <c r="I4" s="117"/>
      <c r="J4" s="117"/>
      <c r="K4" s="117"/>
      <c r="L4" s="117"/>
      <c r="M4" s="117"/>
      <c r="N4" s="117"/>
      <c r="O4" s="117"/>
      <c r="P4" s="117"/>
    </row>
    <row r="5" spans="2:34" ht="37.5" customHeight="1" x14ac:dyDescent="0.25">
      <c r="B5" s="117"/>
      <c r="C5" s="117"/>
      <c r="D5" s="117"/>
      <c r="E5" s="117"/>
      <c r="F5" s="117"/>
      <c r="G5" s="117"/>
      <c r="H5" s="117"/>
      <c r="I5" s="117"/>
      <c r="J5" s="117"/>
      <c r="K5" s="117"/>
      <c r="L5" s="117"/>
      <c r="M5" s="117"/>
      <c r="N5" s="117"/>
      <c r="O5" s="117"/>
      <c r="P5" s="117"/>
    </row>
    <row r="6" spans="2:34" ht="37.5" customHeight="1" x14ac:dyDescent="0.25">
      <c r="B6" s="117"/>
      <c r="C6" s="117"/>
      <c r="D6" s="117"/>
      <c r="E6" s="117"/>
      <c r="F6" s="117"/>
      <c r="G6" s="117"/>
      <c r="H6" s="117"/>
      <c r="I6" s="117"/>
      <c r="J6" s="117"/>
      <c r="K6" s="117"/>
      <c r="L6" s="117"/>
      <c r="M6" s="117"/>
      <c r="N6" s="117"/>
      <c r="O6" s="117"/>
      <c r="P6" s="117"/>
    </row>
    <row r="7" spans="2:34" ht="33.75" customHeight="1" thickBot="1" x14ac:dyDescent="0.3"/>
    <row r="8" spans="2:34" s="47" customFormat="1" ht="27.75" customHeight="1" thickBot="1" x14ac:dyDescent="0.3">
      <c r="B8" s="737" t="s">
        <v>242</v>
      </c>
      <c r="C8" s="738"/>
      <c r="D8" s="738"/>
      <c r="E8" s="738"/>
      <c r="F8" s="738"/>
      <c r="G8" s="738"/>
      <c r="H8" s="739"/>
      <c r="I8" s="718" t="s">
        <v>243</v>
      </c>
      <c r="J8" s="718"/>
      <c r="K8" s="718"/>
      <c r="L8" s="715" t="s">
        <v>706</v>
      </c>
      <c r="M8" s="716"/>
      <c r="N8" s="717"/>
      <c r="O8" s="723" t="s">
        <v>707</v>
      </c>
      <c r="P8" s="724"/>
      <c r="Q8" s="715" t="s">
        <v>708</v>
      </c>
      <c r="R8" s="716"/>
      <c r="S8" s="716"/>
      <c r="T8" s="716"/>
      <c r="U8" s="716"/>
      <c r="V8" s="716"/>
      <c r="W8" s="717"/>
      <c r="X8" s="723" t="s">
        <v>709</v>
      </c>
      <c r="Y8" s="718"/>
      <c r="Z8" s="718"/>
      <c r="AA8" s="718"/>
      <c r="AB8" s="724"/>
      <c r="AC8" s="715" t="s">
        <v>710</v>
      </c>
      <c r="AD8" s="716"/>
      <c r="AE8" s="716"/>
      <c r="AF8" s="716"/>
      <c r="AG8" s="717"/>
      <c r="AH8" s="732" t="s">
        <v>298</v>
      </c>
    </row>
    <row r="9" spans="2:34" s="11" customFormat="1" ht="107.25" customHeight="1" thickBot="1" x14ac:dyDescent="0.3">
      <c r="B9" s="354" t="s">
        <v>42</v>
      </c>
      <c r="C9" s="355" t="s">
        <v>39</v>
      </c>
      <c r="D9" s="355" t="s">
        <v>21</v>
      </c>
      <c r="E9" s="355" t="s">
        <v>429</v>
      </c>
      <c r="F9" s="355" t="s">
        <v>40</v>
      </c>
      <c r="G9" s="355" t="s">
        <v>41</v>
      </c>
      <c r="H9" s="356" t="s">
        <v>157</v>
      </c>
      <c r="I9" s="353" t="s">
        <v>156</v>
      </c>
      <c r="J9" s="352" t="s">
        <v>735</v>
      </c>
      <c r="K9" s="357" t="s">
        <v>101</v>
      </c>
      <c r="L9" s="358" t="s">
        <v>716</v>
      </c>
      <c r="M9" s="429" t="s">
        <v>737</v>
      </c>
      <c r="N9" s="359" t="s">
        <v>160</v>
      </c>
      <c r="O9" s="361" t="s">
        <v>159</v>
      </c>
      <c r="P9" s="362" t="s">
        <v>160</v>
      </c>
      <c r="Q9" s="360" t="s">
        <v>193</v>
      </c>
      <c r="R9" s="314" t="s">
        <v>109</v>
      </c>
      <c r="S9" s="314" t="s">
        <v>110</v>
      </c>
      <c r="T9" s="314" t="s">
        <v>711</v>
      </c>
      <c r="U9" s="314" t="s">
        <v>712</v>
      </c>
      <c r="V9" s="314" t="s">
        <v>713</v>
      </c>
      <c r="W9" s="363" t="s">
        <v>714</v>
      </c>
      <c r="X9" s="361" t="s">
        <v>216</v>
      </c>
      <c r="Y9" s="364" t="s">
        <v>119</v>
      </c>
      <c r="Z9" s="364" t="s">
        <v>121</v>
      </c>
      <c r="AA9" s="364" t="s">
        <v>120</v>
      </c>
      <c r="AB9" s="362" t="s">
        <v>115</v>
      </c>
      <c r="AC9" s="358" t="s">
        <v>340</v>
      </c>
      <c r="AD9" s="431" t="s">
        <v>737</v>
      </c>
      <c r="AE9" s="365" t="s">
        <v>341</v>
      </c>
      <c r="AF9" s="365" t="s">
        <v>342</v>
      </c>
      <c r="AG9" s="359" t="s">
        <v>343</v>
      </c>
      <c r="AH9" s="732"/>
    </row>
    <row r="10" spans="2:34" x14ac:dyDescent="0.25">
      <c r="B10" s="12" t="str">
        <f>IF('3. Calculator'!B8=0, "", '3. Calculator'!B8)</f>
        <v/>
      </c>
      <c r="C10" s="376" t="str">
        <f>IF('3. Calculator'!D8=0, "", '3. Calculator'!D8)</f>
        <v/>
      </c>
      <c r="D10" s="377" t="str">
        <f>IF('3. Calculator'!E8=0, "", '3. Calculator'!E8)</f>
        <v/>
      </c>
      <c r="E10" s="377">
        <f>IF('3. Calculator'!L8="", 1, IF('3. Calculator'!L8="Not applicable", 1, IF('3. Calculator'!L8="Lower", 1, VLOOKUP('3. Calculator'!E8, HVConversionValues,2,FALSE))))</f>
        <v>1</v>
      </c>
      <c r="F10" s="377" t="str">
        <f>IF('3. Calculator'!H8=0, "", '3. Calculator'!H8)</f>
        <v/>
      </c>
      <c r="G10" s="377" t="str">
        <f>IF('3. Calculator'!I8=0, "", '3. Calculator'!I8)</f>
        <v/>
      </c>
      <c r="H10" s="378" t="str">
        <f>IF('3. Calculator'!C8=0, "", '3. Calculator'!C8)</f>
        <v/>
      </c>
      <c r="I10" s="419" t="str">
        <f ca="1">IF(ghostSpreadsheet_CH4!H10="","",VLOOKUP(D10, INDIRECT(H10), 2, FALSE))</f>
        <v/>
      </c>
      <c r="J10" s="420" t="str">
        <f>IF(ISNA(VLOOKUP('3. Calculator'!E8, fuelInfo, 4, FALSE)),"", (E10*VLOOKUP('3. Calculator'!E8, fuelInfo, 4, FALSE)))</f>
        <v/>
      </c>
      <c r="K10" s="378" t="str">
        <f>IF(ISNA(VLOOKUP('3. Calculator'!I8,unitStates,3,FALSE)), "", (VLOOKUP('3. Calculator'!I8,unitStates,3,FALSE)))</f>
        <v/>
      </c>
      <c r="L10" s="344" t="str">
        <f>IF(C10="My fuels", "", IF(K10=0, VLOOKUP('3. Calculator'!I8, energyEFs,3,FALSE),""))</f>
        <v/>
      </c>
      <c r="M10" s="345" t="str">
        <f>IF(L10="","",I10*(1/E10))</f>
        <v/>
      </c>
      <c r="N10" s="381" t="str">
        <f t="shared" ref="N10:N28" si="0">IF(L10="","", F10*I10*(1/E10)*L10)</f>
        <v/>
      </c>
      <c r="O10" s="376" t="str">
        <f>IF(C10="My fuels", "", IF(K10=1, VLOOKUP('3. Calculator'!I8, solidEFs,3,FALSE),""))</f>
        <v/>
      </c>
      <c r="P10" s="378" t="str">
        <f>IF(O10="", "", F10*I10*(1/E10)*J10*O10)</f>
        <v/>
      </c>
      <c r="Q10" s="376" t="str">
        <f>IF(K10=2,IF(ISNA(VLOOKUP('3. Calculator'!C8,industryEFTableKeys, 2,FALSE)), "", VLOOKUP('3. Calculator'!C8,industryEFTableKeys, 2,FALSE)),"")</f>
        <v/>
      </c>
      <c r="R10" s="377" t="str">
        <f t="shared" ref="R10:R28" ca="1" si="1">IF(C10="My fuels", "", IF(K10=2, VLOOKUP(D10, INDIRECT(Q10),6,FALSE),""))</f>
        <v/>
      </c>
      <c r="S10" s="377" t="str">
        <f xml:space="preserve"> IF(ISNA(VLOOKUP('3. Calculator'!I8,unitStates,4, FALSE)), "", (VLOOKUP('3. Calculator'!I8,unitStates,4, FALSE)))</f>
        <v/>
      </c>
      <c r="T10" s="377" t="str">
        <f t="shared" ref="T10:T28" si="2">IF(K10=2, F10*R10,"")</f>
        <v/>
      </c>
      <c r="U10" s="377" t="str">
        <f t="shared" ref="U10:U28" ca="1" si="3">IF(R10="", "", IF(S10=2, 3.785,1))</f>
        <v/>
      </c>
      <c r="V10" s="377" t="str">
        <f t="shared" ref="V10:V28" ca="1" si="4">IF(R10="","",IF(S10=3, 158.99,1))</f>
        <v/>
      </c>
      <c r="W10" s="378" t="str">
        <f t="shared" ref="W10:W28" ca="1" si="5">+IF(R10="", "", T10*U10*V10)</f>
        <v/>
      </c>
      <c r="X10" s="344" t="str">
        <f>IF(C10="My fuels", "", IF(K10=3, IF(ISNA(VLOOKUP('3. Calculator'!C8,industryEFTableKeys, 3,FALSE)), "", VLOOKUP('3. Calculator'!C8,industryEFTableKeys, 3,FALSE)), ""))</f>
        <v/>
      </c>
      <c r="Y10" s="328" t="str">
        <f t="shared" ref="Y10:Y28" ca="1" si="6">IF(K10=3, VLOOKUP(D10, INDIRECT(X10),6,FALSE),"")</f>
        <v/>
      </c>
      <c r="Z10" s="328" t="str">
        <f ca="1">+IF(Y10="", "", IF(ISNA(VLOOKUP('3. Calculator'!I8,unitStates,5, FALSE)), "", (VLOOKUP('3. Calculator'!I8,unitStates,5, FALSE))))</f>
        <v/>
      </c>
      <c r="AA10" s="328" t="str">
        <f t="shared" ref="AA10:AA28" ca="1" si="7">IF(Y10="","", IF(Z10=1,1,0.02832))</f>
        <v/>
      </c>
      <c r="AB10" s="381" t="str">
        <f t="shared" ref="AB10:AB28" ca="1" si="8">IF(Y10="", "", F10*Y10*AA10)</f>
        <v/>
      </c>
      <c r="AC10" s="376" t="str">
        <f t="shared" ref="AC10:AC28" si="9">IF(C10="My fuels", VLOOKUP(D10, customTable, 12, FALSE), "")</f>
        <v/>
      </c>
      <c r="AD10" s="377" t="str">
        <f>IF(C10="My fuels", VLOOKUP(D10, customTable,3, FALSE)&amp;" "&amp;VLOOKUP(D10, customTable,6, FALSE)&amp;"/"&amp;VLOOKUP(D10, customTable,7, FALSE),"")</f>
        <v/>
      </c>
      <c r="AE10" s="377" t="str">
        <f t="shared" ref="AE10:AE28" si="10">IF(AC10="", "", AC10*F10)</f>
        <v/>
      </c>
      <c r="AF10" s="377" t="str">
        <f t="shared" ref="AF10:AF28" si="11">+IF(ISERROR(VLOOKUP(G10,customConversionFactors, 4, FALSE)), "", VLOOKUP(G10,customConversionFactors, 4, FALSE))</f>
        <v/>
      </c>
      <c r="AG10" s="378" t="str">
        <f t="shared" ref="AG10:AG28" si="12">IF(ISERROR(IF(AC10="", "", AE10*AF10)), "", IF(AC10="", "", AE10*AF10))</f>
        <v/>
      </c>
      <c r="AH10" s="344">
        <f t="shared" ref="AH10:AH28" ca="1" si="13">IF(AG10="", IF(N10="",0,N10)+IF(P10="",0,P10)+IF(W10="",0,W10)+IF(AB10="",0,AB10), AG10)</f>
        <v>0</v>
      </c>
    </row>
    <row r="11" spans="2:34" x14ac:dyDescent="0.25">
      <c r="B11" s="12" t="str">
        <f>IF('3. Calculator'!B9=0, "", '3. Calculator'!B9)</f>
        <v/>
      </c>
      <c r="C11" s="379" t="str">
        <f>IF('3. Calculator'!D9=0, "", '3. Calculator'!D9)</f>
        <v/>
      </c>
      <c r="D11" s="326" t="str">
        <f>IF('3. Calculator'!E9=0, "", '3. Calculator'!E9)</f>
        <v/>
      </c>
      <c r="E11" s="326">
        <f>IF('3. Calculator'!L9="", 1, IF('3. Calculator'!L9="Not applicable", 1, IF('3. Calculator'!L9="Lower", 1, VLOOKUP('3. Calculator'!E9, HVConversionValues,2,FALSE))))</f>
        <v>1</v>
      </c>
      <c r="F11" s="326" t="str">
        <f>IF('3. Calculator'!H9=0, "", '3. Calculator'!H9)</f>
        <v/>
      </c>
      <c r="G11" s="326" t="str">
        <f>IF('3. Calculator'!I9=0, "", '3. Calculator'!I9)</f>
        <v/>
      </c>
      <c r="H11" s="380" t="str">
        <f>IF('3. Calculator'!C9=0, "", '3. Calculator'!C9)</f>
        <v/>
      </c>
      <c r="I11" s="421" t="str">
        <f ca="1">IF(ghostSpreadsheet_CH4!H11="","",VLOOKUP(D11, INDIRECT(H11), 2, FALSE))</f>
        <v/>
      </c>
      <c r="J11" s="422" t="str">
        <f>IF(ISNA(VLOOKUP('3. Calculator'!E9, fuelInfo, 4, FALSE)),"", (E11*VLOOKUP('3. Calculator'!E9, fuelInfo, 4, FALSE)))</f>
        <v/>
      </c>
      <c r="K11" s="380" t="str">
        <f>IF(ISNA(VLOOKUP('3. Calculator'!I9,unitStates,3,FALSE)), "", (VLOOKUP('3. Calculator'!I9,unitStates,3,FALSE)))</f>
        <v/>
      </c>
      <c r="L11" s="345" t="str">
        <f>IF(C11="My fuels", "", IF(K11=0, VLOOKUP('3. Calculator'!I9, energyEFs,3,FALSE),""))</f>
        <v/>
      </c>
      <c r="M11" s="345" t="str">
        <f t="shared" ref="M11:M37" si="14">IF(L11="","", I11*(1/E11)*L11)</f>
        <v/>
      </c>
      <c r="N11" s="382" t="str">
        <f t="shared" si="0"/>
        <v/>
      </c>
      <c r="O11" s="379" t="str">
        <f>IF(C11="My fuels", "", IF(K11=1, VLOOKUP('3. Calculator'!I9, solidEFs,3,FALSE),""))</f>
        <v/>
      </c>
      <c r="P11" s="380" t="str">
        <f t="shared" ref="P11:P28" si="15">IF(O11="", "", F11*I11*(1/E11)*J11*O11)</f>
        <v/>
      </c>
      <c r="Q11" s="379" t="str">
        <f>IF(K11=2,IF(ISNA(VLOOKUP('3. Calculator'!C9,industryEFTableKeys, 2,FALSE)), "", VLOOKUP('3. Calculator'!C9,industryEFTableKeys, 2,FALSE)),"")</f>
        <v/>
      </c>
      <c r="R11" s="326" t="str">
        <f t="shared" ca="1" si="1"/>
        <v/>
      </c>
      <c r="S11" s="326" t="str">
        <f xml:space="preserve"> IF(ISNA(VLOOKUP('3. Calculator'!I9,unitStates,4, FALSE)), "", (VLOOKUP('3. Calculator'!I9,unitStates,4, FALSE)))</f>
        <v/>
      </c>
      <c r="T11" s="326" t="str">
        <f t="shared" si="2"/>
        <v/>
      </c>
      <c r="U11" s="326" t="str">
        <f t="shared" ca="1" si="3"/>
        <v/>
      </c>
      <c r="V11" s="326" t="str">
        <f t="shared" ca="1" si="4"/>
        <v/>
      </c>
      <c r="W11" s="380" t="str">
        <f t="shared" ca="1" si="5"/>
        <v/>
      </c>
      <c r="X11" s="345" t="str">
        <f>IF(C11="My fuels", "", IF(K11=3, IF(ISNA(VLOOKUP('3. Calculator'!C9,industryEFTableKeys, 3,FALSE)), "", VLOOKUP('3. Calculator'!C9,industryEFTableKeys, 3,FALSE)), ""))</f>
        <v/>
      </c>
      <c r="Y11" s="326" t="str">
        <f t="shared" ca="1" si="6"/>
        <v/>
      </c>
      <c r="Z11" s="326" t="str">
        <f ca="1">+IF(Y11="", "", IF(ISNA(VLOOKUP('3. Calculator'!I9,unitStates,5, FALSE)), "", (VLOOKUP('3. Calculator'!I9,unitStates,5, FALSE))))</f>
        <v/>
      </c>
      <c r="AA11" s="326" t="str">
        <f t="shared" ca="1" si="7"/>
        <v/>
      </c>
      <c r="AB11" s="382" t="str">
        <f t="shared" ca="1" si="8"/>
        <v/>
      </c>
      <c r="AC11" s="379" t="str">
        <f>IF(C11="My fuels", VLOOKUP(D11, customTable, 12, FALSE), "")</f>
        <v/>
      </c>
      <c r="AD11" s="326" t="str">
        <f>IF(C11="My fuels", VLOOKUP(D11, customTable,4, FALSE)&amp;" "&amp;VLOOKUP(D11, customTable,6, FALSE)&amp;"/"&amp;VLOOKUP(D11, customTable,7, FALSE),"")</f>
        <v/>
      </c>
      <c r="AE11" s="326" t="str">
        <f t="shared" si="10"/>
        <v/>
      </c>
      <c r="AF11" s="326" t="str">
        <f t="shared" si="11"/>
        <v/>
      </c>
      <c r="AG11" s="380" t="str">
        <f t="shared" si="12"/>
        <v/>
      </c>
      <c r="AH11" s="345">
        <f t="shared" ca="1" si="13"/>
        <v>0</v>
      </c>
    </row>
    <row r="12" spans="2:34" x14ac:dyDescent="0.25">
      <c r="B12" s="12" t="str">
        <f>IF('3. Calculator'!B10=0, "", '3. Calculator'!B10)</f>
        <v/>
      </c>
      <c r="C12" s="379" t="str">
        <f>IF('3. Calculator'!D10=0, "", '3. Calculator'!D10)</f>
        <v/>
      </c>
      <c r="D12" s="326" t="str">
        <f>IF('3. Calculator'!E10=0, "", '3. Calculator'!E10)</f>
        <v/>
      </c>
      <c r="E12" s="326">
        <f>IF('3. Calculator'!L10="", 1, IF('3. Calculator'!L10="Not applicable", 1, IF('3. Calculator'!L10="Lower", 1, VLOOKUP('3. Calculator'!E10, HVConversionValues,2,FALSE))))</f>
        <v>1</v>
      </c>
      <c r="F12" s="326" t="str">
        <f>IF('3. Calculator'!H10=0, "", '3. Calculator'!H10)</f>
        <v/>
      </c>
      <c r="G12" s="326" t="str">
        <f>IF('3. Calculator'!I10=0, "", '3. Calculator'!I10)</f>
        <v/>
      </c>
      <c r="H12" s="380" t="str">
        <f>IF('3. Calculator'!C10=0, "", '3. Calculator'!C10)</f>
        <v/>
      </c>
      <c r="I12" s="421" t="str">
        <f ca="1">IF(ghostSpreadsheet_CH4!H12="","",VLOOKUP(D12, INDIRECT(H12), 2, FALSE))</f>
        <v/>
      </c>
      <c r="J12" s="422" t="str">
        <f>IF(ISNA(VLOOKUP('3. Calculator'!E10, fuelInfo, 4, FALSE)),"", (E12*VLOOKUP('3. Calculator'!E10, fuelInfo, 4, FALSE)))</f>
        <v/>
      </c>
      <c r="K12" s="380" t="str">
        <f>IF(ISNA(VLOOKUP('3. Calculator'!I10,unitStates,3,FALSE)), "", (VLOOKUP('3. Calculator'!I10,unitStates,3,FALSE)))</f>
        <v/>
      </c>
      <c r="L12" s="345" t="str">
        <f>IF(C12="My fuels", "", IF(K12=0, VLOOKUP('3. Calculator'!I10, energyEFs,3,FALSE),""))</f>
        <v/>
      </c>
      <c r="M12" s="345" t="str">
        <f t="shared" si="14"/>
        <v/>
      </c>
      <c r="N12" s="382" t="str">
        <f t="shared" si="0"/>
        <v/>
      </c>
      <c r="O12" s="379" t="str">
        <f>IF(C12="My fuels", "", IF(K12=1, VLOOKUP('3. Calculator'!I10, solidEFs,3,FALSE),""))</f>
        <v/>
      </c>
      <c r="P12" s="380" t="str">
        <f t="shared" si="15"/>
        <v/>
      </c>
      <c r="Q12" s="379" t="str">
        <f>IF(K12=2,IF(ISNA(VLOOKUP('3. Calculator'!C10,industryEFTableKeys, 2,FALSE)), "", VLOOKUP('3. Calculator'!C10,industryEFTableKeys, 2,FALSE)),"")</f>
        <v/>
      </c>
      <c r="R12" s="326" t="str">
        <f t="shared" ca="1" si="1"/>
        <v/>
      </c>
      <c r="S12" s="326" t="str">
        <f xml:space="preserve"> IF(ISNA(VLOOKUP('3. Calculator'!I10,unitStates,4, FALSE)), "", (VLOOKUP('3. Calculator'!I10,unitStates,4, FALSE)))</f>
        <v/>
      </c>
      <c r="T12" s="326" t="str">
        <f t="shared" si="2"/>
        <v/>
      </c>
      <c r="U12" s="326" t="str">
        <f t="shared" ca="1" si="3"/>
        <v/>
      </c>
      <c r="V12" s="326" t="str">
        <f t="shared" ca="1" si="4"/>
        <v/>
      </c>
      <c r="W12" s="380" t="str">
        <f t="shared" ca="1" si="5"/>
        <v/>
      </c>
      <c r="X12" s="345" t="str">
        <f>IF(C12="My fuels", "", IF(K12=3, IF(ISNA(VLOOKUP('3. Calculator'!C10,industryEFTableKeys, 3,FALSE)), "", VLOOKUP('3. Calculator'!C10,industryEFTableKeys, 3,FALSE)), ""))</f>
        <v/>
      </c>
      <c r="Y12" s="326" t="str">
        <f t="shared" ca="1" si="6"/>
        <v/>
      </c>
      <c r="Z12" s="326" t="str">
        <f ca="1">+IF(Y12="", "", IF(ISNA(VLOOKUP('3. Calculator'!I10,unitStates,5, FALSE)), "", (VLOOKUP('3. Calculator'!I10,unitStates,5, FALSE))))</f>
        <v/>
      </c>
      <c r="AA12" s="326" t="str">
        <f t="shared" ca="1" si="7"/>
        <v/>
      </c>
      <c r="AB12" s="382" t="str">
        <f t="shared" ca="1" si="8"/>
        <v/>
      </c>
      <c r="AC12" s="379" t="str">
        <f t="shared" si="9"/>
        <v/>
      </c>
      <c r="AD12" s="326" t="str">
        <f t="shared" ref="AD12:AD35" si="16">IF(C12="My fuels", VLOOKUP(D12, customTable,3, FALSE)&amp;" "&amp;VLOOKUP(D12, customTable,6, FALSE)&amp;"/"&amp;VLOOKUP(D12, customTable,7, FALSE),"")</f>
        <v/>
      </c>
      <c r="AE12" s="326" t="str">
        <f t="shared" si="10"/>
        <v/>
      </c>
      <c r="AF12" s="326" t="str">
        <f t="shared" si="11"/>
        <v/>
      </c>
      <c r="AG12" s="380" t="str">
        <f t="shared" si="12"/>
        <v/>
      </c>
      <c r="AH12" s="345">
        <f ca="1">IF(AG12="", IF(N12="",0,N12)+IF(P12="",0,P12)+IF(W12="",0,W12)+IF(AB12="",0,AB12), AG12)</f>
        <v>0</v>
      </c>
    </row>
    <row r="13" spans="2:34" x14ac:dyDescent="0.25">
      <c r="B13" s="12" t="str">
        <f>IF('3. Calculator'!B11=0, "", '3. Calculator'!B11)</f>
        <v/>
      </c>
      <c r="C13" s="379" t="str">
        <f>IF('3. Calculator'!D11=0, "", '3. Calculator'!D11)</f>
        <v/>
      </c>
      <c r="D13" s="326" t="str">
        <f>IF('3. Calculator'!E11=0, "", '3. Calculator'!E11)</f>
        <v/>
      </c>
      <c r="E13" s="326">
        <f>IF('3. Calculator'!L11="", 1, IF('3. Calculator'!L11="Not applicable", 1, IF('3. Calculator'!L11="Lower", 1, VLOOKUP('3. Calculator'!E11, HVConversionValues,2,FALSE))))</f>
        <v>1</v>
      </c>
      <c r="F13" s="326" t="str">
        <f>IF('3. Calculator'!H11=0, "", '3. Calculator'!H11)</f>
        <v/>
      </c>
      <c r="G13" s="326" t="str">
        <f>IF('3. Calculator'!I11=0, "", '3. Calculator'!I11)</f>
        <v/>
      </c>
      <c r="H13" s="380" t="str">
        <f>IF('3. Calculator'!C11=0, "", '3. Calculator'!C11)</f>
        <v/>
      </c>
      <c r="I13" s="421" t="str">
        <f ca="1">IF(ghostSpreadsheet_CH4!H13="","",VLOOKUP(D13, INDIRECT(H13), 2, FALSE))</f>
        <v/>
      </c>
      <c r="J13" s="422" t="str">
        <f>IF(ISNA(VLOOKUP('3. Calculator'!E11, fuelInfo, 4, FALSE)),"", (E13*VLOOKUP('3. Calculator'!E11, fuelInfo, 4, FALSE)))</f>
        <v/>
      </c>
      <c r="K13" s="380" t="str">
        <f>IF(ISNA(VLOOKUP('3. Calculator'!I11,unitStates,3,FALSE)), "", (VLOOKUP('3. Calculator'!I11,unitStates,3,FALSE)))</f>
        <v/>
      </c>
      <c r="L13" s="345" t="str">
        <f>IF(C13="My fuels", "", IF(K13=0, VLOOKUP('3. Calculator'!I11, energyEFs,3,FALSE),""))</f>
        <v/>
      </c>
      <c r="M13" s="345" t="str">
        <f t="shared" si="14"/>
        <v/>
      </c>
      <c r="N13" s="382" t="str">
        <f>IF(L13="","", F13*I13*(1/E13)*L13)</f>
        <v/>
      </c>
      <c r="O13" s="379" t="str">
        <f>IF(C13="My fuels", "", IF(K13=1, VLOOKUP('3. Calculator'!I11, solidEFs,3,FALSE),""))</f>
        <v/>
      </c>
      <c r="P13" s="380" t="str">
        <f t="shared" si="15"/>
        <v/>
      </c>
      <c r="Q13" s="379" t="str">
        <f>IF(K13=2,IF(ISNA(VLOOKUP('3. Calculator'!C11,industryEFTableKeys, 2,FALSE)), "", VLOOKUP('3. Calculator'!C11,industryEFTableKeys, 2,FALSE)),"")</f>
        <v/>
      </c>
      <c r="R13" s="326" t="str">
        <f t="shared" ca="1" si="1"/>
        <v/>
      </c>
      <c r="S13" s="326" t="str">
        <f xml:space="preserve"> IF(ISNA(VLOOKUP('3. Calculator'!I11,unitStates,4, FALSE)), "", (VLOOKUP('3. Calculator'!I11,unitStates,4, FALSE)))</f>
        <v/>
      </c>
      <c r="T13" s="326" t="str">
        <f t="shared" si="2"/>
        <v/>
      </c>
      <c r="U13" s="326" t="str">
        <f t="shared" ca="1" si="3"/>
        <v/>
      </c>
      <c r="V13" s="326" t="str">
        <f t="shared" ca="1" si="4"/>
        <v/>
      </c>
      <c r="W13" s="380" t="str">
        <f t="shared" ca="1" si="5"/>
        <v/>
      </c>
      <c r="X13" s="345" t="str">
        <f>IF(C13="My fuels", "", IF(K13=3, IF(ISNA(VLOOKUP('3. Calculator'!C11,industryEFTableKeys, 3,FALSE)), "", VLOOKUP('3. Calculator'!C11,industryEFTableKeys, 3,FALSE)), ""))</f>
        <v/>
      </c>
      <c r="Y13" s="326" t="str">
        <f t="shared" ca="1" si="6"/>
        <v/>
      </c>
      <c r="Z13" s="326" t="str">
        <f ca="1">+IF(Y13="", "", IF(ISNA(VLOOKUP('3. Calculator'!I11,unitStates,5, FALSE)), "", (VLOOKUP('3. Calculator'!I11,unitStates,5, FALSE))))</f>
        <v/>
      </c>
      <c r="AA13" s="326" t="str">
        <f t="shared" ca="1" si="7"/>
        <v/>
      </c>
      <c r="AB13" s="382" t="str">
        <f t="shared" ca="1" si="8"/>
        <v/>
      </c>
      <c r="AC13" s="379" t="str">
        <f t="shared" si="9"/>
        <v/>
      </c>
      <c r="AD13" s="326" t="str">
        <f t="shared" si="16"/>
        <v/>
      </c>
      <c r="AE13" s="326" t="str">
        <f t="shared" si="10"/>
        <v/>
      </c>
      <c r="AF13" s="326" t="str">
        <f t="shared" si="11"/>
        <v/>
      </c>
      <c r="AG13" s="380" t="str">
        <f t="shared" si="12"/>
        <v/>
      </c>
      <c r="AH13" s="345">
        <f t="shared" ca="1" si="13"/>
        <v>0</v>
      </c>
    </row>
    <row r="14" spans="2:34" x14ac:dyDescent="0.25">
      <c r="B14" s="12" t="str">
        <f>IF('3. Calculator'!B12=0, "", '3. Calculator'!B12)</f>
        <v/>
      </c>
      <c r="C14" s="379" t="str">
        <f>IF('3. Calculator'!D12=0, "", '3. Calculator'!D12)</f>
        <v/>
      </c>
      <c r="D14" s="326" t="str">
        <f>IF('3. Calculator'!E12=0, "", '3. Calculator'!E12)</f>
        <v/>
      </c>
      <c r="E14" s="326">
        <f>IF('3. Calculator'!L12="", 1, IF('3. Calculator'!L12="Not applicable", 1, IF('3. Calculator'!L12="Lower", 1, VLOOKUP('3. Calculator'!E12, HVConversionValues,2,FALSE))))</f>
        <v>1</v>
      </c>
      <c r="F14" s="326" t="str">
        <f>IF('3. Calculator'!H12=0, "", '3. Calculator'!H12)</f>
        <v/>
      </c>
      <c r="G14" s="326" t="str">
        <f>IF('3. Calculator'!I12=0, "", '3. Calculator'!I12)</f>
        <v/>
      </c>
      <c r="H14" s="380" t="str">
        <f>IF('3. Calculator'!C12=0, "", '3. Calculator'!C12)</f>
        <v/>
      </c>
      <c r="I14" s="421" t="str">
        <f ca="1">IF(ghostSpreadsheet_CH4!H14="","",VLOOKUP(D14, INDIRECT(H14), 2, FALSE))</f>
        <v/>
      </c>
      <c r="J14" s="422" t="str">
        <f>IF(ISNA(VLOOKUP('3. Calculator'!E12, fuelInfo, 4, FALSE)),"", (E14*VLOOKUP('3. Calculator'!E12, fuelInfo, 4, FALSE)))</f>
        <v/>
      </c>
      <c r="K14" s="380" t="str">
        <f>IF(ISNA(VLOOKUP('3. Calculator'!I12,unitStates,3,FALSE)), "", (VLOOKUP('3. Calculator'!I12,unitStates,3,FALSE)))</f>
        <v/>
      </c>
      <c r="L14" s="345" t="str">
        <f>IF(C14="My fuels", "", IF(K14=0, VLOOKUP('3. Calculator'!I12, energyEFs,3,FALSE),""))</f>
        <v/>
      </c>
      <c r="M14" s="345" t="str">
        <f t="shared" si="14"/>
        <v/>
      </c>
      <c r="N14" s="382" t="str">
        <f t="shared" si="0"/>
        <v/>
      </c>
      <c r="O14" s="379" t="str">
        <f>IF(C14="My fuels", "", IF(K14=1, VLOOKUP('3. Calculator'!I12, solidEFs,3,FALSE),""))</f>
        <v/>
      </c>
      <c r="P14" s="380" t="str">
        <f t="shared" si="15"/>
        <v/>
      </c>
      <c r="Q14" s="379" t="str">
        <f>IF(K14=2,IF(ISNA(VLOOKUP('3. Calculator'!C12,industryEFTableKeys, 2,FALSE)), "", VLOOKUP('3. Calculator'!C12,industryEFTableKeys, 2,FALSE)),"")</f>
        <v/>
      </c>
      <c r="R14" s="326" t="str">
        <f ca="1">IF(C14="My fuels", "", IF(K14=2, VLOOKUP(D14, INDIRECT(Q14),6,FALSE),""))</f>
        <v/>
      </c>
      <c r="S14" s="326" t="str">
        <f xml:space="preserve"> IF(ISNA(VLOOKUP('3. Calculator'!I12,unitStates,4, FALSE)), "", (VLOOKUP('3. Calculator'!I12,unitStates,4, FALSE)))</f>
        <v/>
      </c>
      <c r="T14" s="326" t="str">
        <f t="shared" si="2"/>
        <v/>
      </c>
      <c r="U14" s="326" t="str">
        <f t="shared" ca="1" si="3"/>
        <v/>
      </c>
      <c r="V14" s="326" t="str">
        <f t="shared" ca="1" si="4"/>
        <v/>
      </c>
      <c r="W14" s="380" t="str">
        <f t="shared" ca="1" si="5"/>
        <v/>
      </c>
      <c r="X14" s="345" t="str">
        <f>IF(C14="My fuels", "", IF(K14=3, IF(ISNA(VLOOKUP('3. Calculator'!C12,industryEFTableKeys, 3,FALSE)), "", VLOOKUP('3. Calculator'!C12,industryEFTableKeys, 3,FALSE)), ""))</f>
        <v/>
      </c>
      <c r="Y14" s="326" t="str">
        <f t="shared" ca="1" si="6"/>
        <v/>
      </c>
      <c r="Z14" s="326" t="str">
        <f ca="1">+IF(Y14="", "", IF(ISNA(VLOOKUP('3. Calculator'!I12,unitStates,5, FALSE)), "", (VLOOKUP('3. Calculator'!I12,unitStates,5, FALSE))))</f>
        <v/>
      </c>
      <c r="AA14" s="326" t="str">
        <f t="shared" ca="1" si="7"/>
        <v/>
      </c>
      <c r="AB14" s="382" t="str">
        <f t="shared" ca="1" si="8"/>
        <v/>
      </c>
      <c r="AC14" s="379" t="str">
        <f t="shared" si="9"/>
        <v/>
      </c>
      <c r="AD14" s="326" t="str">
        <f t="shared" si="16"/>
        <v/>
      </c>
      <c r="AE14" s="326" t="str">
        <f t="shared" si="10"/>
        <v/>
      </c>
      <c r="AF14" s="326" t="str">
        <f t="shared" si="11"/>
        <v/>
      </c>
      <c r="AG14" s="380" t="str">
        <f t="shared" si="12"/>
        <v/>
      </c>
      <c r="AH14" s="345">
        <f t="shared" ca="1" si="13"/>
        <v>0</v>
      </c>
    </row>
    <row r="15" spans="2:34" x14ac:dyDescent="0.25">
      <c r="B15" s="12" t="str">
        <f>IF('3. Calculator'!B13=0, "", '3. Calculator'!B13)</f>
        <v/>
      </c>
      <c r="C15" s="379" t="str">
        <f>IF('3. Calculator'!D13=0, "", '3. Calculator'!D13)</f>
        <v/>
      </c>
      <c r="D15" s="326" t="str">
        <f>IF('3. Calculator'!E13=0, "", '3. Calculator'!E13)</f>
        <v/>
      </c>
      <c r="E15" s="326">
        <f>IF('3. Calculator'!L13="", 1, IF('3. Calculator'!L13="Not applicable", 1, IF('3. Calculator'!L13="Lower", 1, VLOOKUP('3. Calculator'!E13, HVConversionValues,2,FALSE))))</f>
        <v>1</v>
      </c>
      <c r="F15" s="326" t="str">
        <f>IF('3. Calculator'!H13=0, "", '3. Calculator'!H13)</f>
        <v/>
      </c>
      <c r="G15" s="326" t="str">
        <f>IF('3. Calculator'!I13=0, "", '3. Calculator'!I13)</f>
        <v/>
      </c>
      <c r="H15" s="380" t="str">
        <f>IF('3. Calculator'!C13=0, "", '3. Calculator'!C13)</f>
        <v/>
      </c>
      <c r="I15" s="421" t="str">
        <f ca="1">IF(ghostSpreadsheet_CH4!H15="","",VLOOKUP(D15, INDIRECT(H15), 2, FALSE))</f>
        <v/>
      </c>
      <c r="J15" s="422" t="str">
        <f>IF(ISNA(VLOOKUP('3. Calculator'!E13, fuelInfo, 4, FALSE)),"", (E15*VLOOKUP('3. Calculator'!E13, fuelInfo, 4, FALSE)))</f>
        <v/>
      </c>
      <c r="K15" s="380" t="str">
        <f>IF(ISNA(VLOOKUP('3. Calculator'!I13,unitStates,3,FALSE)), "", (VLOOKUP('3. Calculator'!I13,unitStates,3,FALSE)))</f>
        <v/>
      </c>
      <c r="L15" s="345" t="str">
        <f>IF(C15="My fuels", "", IF(K15=0, VLOOKUP('3. Calculator'!I13, energyEFs,3,FALSE),""))</f>
        <v/>
      </c>
      <c r="M15" s="345" t="str">
        <f t="shared" si="14"/>
        <v/>
      </c>
      <c r="N15" s="382" t="str">
        <f t="shared" si="0"/>
        <v/>
      </c>
      <c r="O15" s="379" t="str">
        <f>IF(C15="My fuels", "", IF(K15=1, VLOOKUP('3. Calculator'!I13, solidEFs,3,FALSE),""))</f>
        <v/>
      </c>
      <c r="P15" s="380" t="str">
        <f t="shared" si="15"/>
        <v/>
      </c>
      <c r="Q15" s="379" t="str">
        <f>IF(K15=2,IF(ISNA(VLOOKUP('3. Calculator'!C13,industryEFTableKeys, 2,FALSE)), "", VLOOKUP('3. Calculator'!C13,industryEFTableKeys, 2,FALSE)),"")</f>
        <v/>
      </c>
      <c r="R15" s="326" t="str">
        <f ca="1">IF(C15="My fuels", "", IF(K15=2, VLOOKUP(D15, INDIRECT(Q15),6,FALSE),""))</f>
        <v/>
      </c>
      <c r="S15" s="326" t="str">
        <f xml:space="preserve"> IF(ISNA(VLOOKUP('3. Calculator'!I13,unitStates,4, FALSE)), "", (VLOOKUP('3. Calculator'!I13,unitStates,4, FALSE)))</f>
        <v/>
      </c>
      <c r="T15" s="326" t="str">
        <f>IF(K15=2, F15*R15,"")</f>
        <v/>
      </c>
      <c r="U15" s="326" t="str">
        <f t="shared" ca="1" si="3"/>
        <v/>
      </c>
      <c r="V15" s="326" t="str">
        <f t="shared" ca="1" si="4"/>
        <v/>
      </c>
      <c r="W15" s="380" t="str">
        <f t="shared" ca="1" si="5"/>
        <v/>
      </c>
      <c r="X15" s="345" t="str">
        <f>IF(C15="My fuels", "", IF(K15=3, IF(ISNA(VLOOKUP('3. Calculator'!C13,industryEFTableKeys, 3,FALSE)), "", VLOOKUP('3. Calculator'!C13,industryEFTableKeys, 3,FALSE)), ""))</f>
        <v/>
      </c>
      <c r="Y15" s="326" t="str">
        <f t="shared" ca="1" si="6"/>
        <v/>
      </c>
      <c r="Z15" s="326" t="str">
        <f ca="1">+IF(Y15="", "", IF(ISNA(VLOOKUP('3. Calculator'!I13,unitStates,5, FALSE)), "", (VLOOKUP('3. Calculator'!I13,unitStates,5, FALSE))))</f>
        <v/>
      </c>
      <c r="AA15" s="326" t="str">
        <f t="shared" ca="1" si="7"/>
        <v/>
      </c>
      <c r="AB15" s="382" t="str">
        <f t="shared" ca="1" si="8"/>
        <v/>
      </c>
      <c r="AC15" s="379" t="str">
        <f t="shared" si="9"/>
        <v/>
      </c>
      <c r="AD15" s="326" t="str">
        <f t="shared" si="16"/>
        <v/>
      </c>
      <c r="AE15" s="326" t="str">
        <f t="shared" si="10"/>
        <v/>
      </c>
      <c r="AF15" s="326" t="str">
        <f t="shared" si="11"/>
        <v/>
      </c>
      <c r="AG15" s="380" t="str">
        <f t="shared" si="12"/>
        <v/>
      </c>
      <c r="AH15" s="345">
        <f t="shared" ca="1" si="13"/>
        <v>0</v>
      </c>
    </row>
    <row r="16" spans="2:34" x14ac:dyDescent="0.25">
      <c r="B16" s="12" t="str">
        <f>IF('3. Calculator'!B14=0, "", '3. Calculator'!B14)</f>
        <v/>
      </c>
      <c r="C16" s="379" t="str">
        <f>IF('3. Calculator'!D14=0, "", '3. Calculator'!D14)</f>
        <v/>
      </c>
      <c r="D16" s="326" t="str">
        <f>IF('3. Calculator'!E14=0, "", '3. Calculator'!E14)</f>
        <v/>
      </c>
      <c r="E16" s="326">
        <f>IF('3. Calculator'!L14="", 1, IF('3. Calculator'!L14="Not applicable", 1, IF('3. Calculator'!L14="Lower", 1, VLOOKUP('3. Calculator'!E14, HVConversionValues,2,FALSE))))</f>
        <v>1</v>
      </c>
      <c r="F16" s="326" t="str">
        <f>IF('3. Calculator'!H14=0, "", '3. Calculator'!H14)</f>
        <v/>
      </c>
      <c r="G16" s="326" t="str">
        <f>IF('3. Calculator'!I14=0, "", '3. Calculator'!I14)</f>
        <v/>
      </c>
      <c r="H16" s="380" t="str">
        <f>IF('3. Calculator'!C14=0, "", '3. Calculator'!C14)</f>
        <v/>
      </c>
      <c r="I16" s="421" t="str">
        <f ca="1">IF(ghostSpreadsheet_CH4!H16="","",VLOOKUP(D16, INDIRECT(H16), 2, FALSE))</f>
        <v/>
      </c>
      <c r="J16" s="422" t="str">
        <f>IF(ISNA(VLOOKUP('3. Calculator'!E14, fuelInfo, 4, FALSE)),"", (E16*VLOOKUP('3. Calculator'!E14, fuelInfo, 4, FALSE)))</f>
        <v/>
      </c>
      <c r="K16" s="380" t="str">
        <f>IF(ISNA(VLOOKUP('3. Calculator'!I14,unitStates,3,FALSE)), "", (VLOOKUP('3. Calculator'!I14,unitStates,3,FALSE)))</f>
        <v/>
      </c>
      <c r="L16" s="345" t="str">
        <f>IF(C16="My fuels", "", IF(K16=0, VLOOKUP('3. Calculator'!I14, energyEFs,3,FALSE),""))</f>
        <v/>
      </c>
      <c r="M16" s="345" t="str">
        <f t="shared" si="14"/>
        <v/>
      </c>
      <c r="N16" s="382" t="str">
        <f t="shared" si="0"/>
        <v/>
      </c>
      <c r="O16" s="379" t="str">
        <f>IF(C16="My fuels", "", IF(K16=1, VLOOKUP('3. Calculator'!I14, solidEFs,3,FALSE),""))</f>
        <v/>
      </c>
      <c r="P16" s="380" t="str">
        <f t="shared" si="15"/>
        <v/>
      </c>
      <c r="Q16" s="379" t="str">
        <f>IF(K16=2,IF(ISNA(VLOOKUP('3. Calculator'!C14,industryEFTableKeys, 2,FALSE)), "", VLOOKUP('3. Calculator'!C14,industryEFTableKeys, 2,FALSE)),"")</f>
        <v/>
      </c>
      <c r="R16" s="326" t="str">
        <f t="shared" ca="1" si="1"/>
        <v/>
      </c>
      <c r="S16" s="326" t="str">
        <f xml:space="preserve"> IF(ISNA(VLOOKUP('3. Calculator'!I14,unitStates,4, FALSE)), "", (VLOOKUP('3. Calculator'!I14,unitStates,4, FALSE)))</f>
        <v/>
      </c>
      <c r="T16" s="326" t="str">
        <f t="shared" si="2"/>
        <v/>
      </c>
      <c r="U16" s="326" t="str">
        <f t="shared" ca="1" si="3"/>
        <v/>
      </c>
      <c r="V16" s="326" t="str">
        <f t="shared" ca="1" si="4"/>
        <v/>
      </c>
      <c r="W16" s="380" t="str">
        <f t="shared" ca="1" si="5"/>
        <v/>
      </c>
      <c r="X16" s="345" t="str">
        <f>IF(C16="My fuels", "", IF(K16=3, IF(ISNA(VLOOKUP('3. Calculator'!C14,industryEFTableKeys, 3,FALSE)), "", VLOOKUP('3. Calculator'!C14,industryEFTableKeys, 3,FALSE)), ""))</f>
        <v/>
      </c>
      <c r="Y16" s="326" t="str">
        <f t="shared" ca="1" si="6"/>
        <v/>
      </c>
      <c r="Z16" s="326" t="str">
        <f ca="1">+IF(Y16="", "", IF(ISNA(VLOOKUP('3. Calculator'!I14,unitStates,5, FALSE)), "", (VLOOKUP('3. Calculator'!I14,unitStates,5, FALSE))))</f>
        <v/>
      </c>
      <c r="AA16" s="326" t="str">
        <f t="shared" ca="1" si="7"/>
        <v/>
      </c>
      <c r="AB16" s="382" t="str">
        <f t="shared" ca="1" si="8"/>
        <v/>
      </c>
      <c r="AC16" s="379" t="str">
        <f t="shared" si="9"/>
        <v/>
      </c>
      <c r="AD16" s="326" t="str">
        <f t="shared" si="16"/>
        <v/>
      </c>
      <c r="AE16" s="326" t="str">
        <f t="shared" si="10"/>
        <v/>
      </c>
      <c r="AF16" s="326" t="str">
        <f t="shared" si="11"/>
        <v/>
      </c>
      <c r="AG16" s="380" t="str">
        <f t="shared" si="12"/>
        <v/>
      </c>
      <c r="AH16" s="345">
        <f t="shared" ca="1" si="13"/>
        <v>0</v>
      </c>
    </row>
    <row r="17" spans="2:34" x14ac:dyDescent="0.25">
      <c r="B17" s="12" t="str">
        <f>IF('3. Calculator'!B15=0, "", '3. Calculator'!B15)</f>
        <v/>
      </c>
      <c r="C17" s="379" t="str">
        <f>IF('3. Calculator'!D15=0, "", '3. Calculator'!D15)</f>
        <v/>
      </c>
      <c r="D17" s="326" t="str">
        <f>IF('3. Calculator'!E15=0, "", '3. Calculator'!E15)</f>
        <v/>
      </c>
      <c r="E17" s="326">
        <f>IF('3. Calculator'!L15="", 1, IF('3. Calculator'!L15="Not applicable", 1, IF('3. Calculator'!L15="Lower", 1, VLOOKUP('3. Calculator'!E15, HVConversionValues,2,FALSE))))</f>
        <v>1</v>
      </c>
      <c r="F17" s="326" t="str">
        <f>IF('3. Calculator'!H15=0, "", '3. Calculator'!H15)</f>
        <v/>
      </c>
      <c r="G17" s="326" t="str">
        <f>IF('3. Calculator'!I15=0, "", '3. Calculator'!I15)</f>
        <v/>
      </c>
      <c r="H17" s="380" t="str">
        <f>IF('3. Calculator'!C15=0, "", '3. Calculator'!C15)</f>
        <v/>
      </c>
      <c r="I17" s="421" t="str">
        <f ca="1">IF(ghostSpreadsheet_CH4!H17="","",VLOOKUP(D17, INDIRECT(H17), 2, FALSE))</f>
        <v/>
      </c>
      <c r="J17" s="422" t="str">
        <f>IF(ISNA(VLOOKUP('3. Calculator'!E15, fuelInfo, 4, FALSE)),"", (E17*VLOOKUP('3. Calculator'!E15, fuelInfo, 4, FALSE)))</f>
        <v/>
      </c>
      <c r="K17" s="380" t="str">
        <f>IF(ISNA(VLOOKUP('3. Calculator'!I15,unitStates,3,FALSE)), "", (VLOOKUP('3. Calculator'!I15,unitStates,3,FALSE)))</f>
        <v/>
      </c>
      <c r="L17" s="345" t="str">
        <f>IF(C17="My fuels", "", IF(K17=0, VLOOKUP('3. Calculator'!I15, energyEFs,3,FALSE),""))</f>
        <v/>
      </c>
      <c r="M17" s="345" t="str">
        <f t="shared" si="14"/>
        <v/>
      </c>
      <c r="N17" s="382" t="str">
        <f t="shared" si="0"/>
        <v/>
      </c>
      <c r="O17" s="379" t="str">
        <f>IF(C17="My fuels", "", IF(K17=1, VLOOKUP('3. Calculator'!I15, solidEFs,3,FALSE),""))</f>
        <v/>
      </c>
      <c r="P17" s="380" t="str">
        <f t="shared" si="15"/>
        <v/>
      </c>
      <c r="Q17" s="379" t="str">
        <f>IF(K17=2,IF(ISNA(VLOOKUP('3. Calculator'!C15,industryEFTableKeys, 2,FALSE)), "", VLOOKUP('3. Calculator'!C15,industryEFTableKeys, 2,FALSE)),"")</f>
        <v/>
      </c>
      <c r="R17" s="326" t="str">
        <f t="shared" ca="1" si="1"/>
        <v/>
      </c>
      <c r="S17" s="326" t="str">
        <f xml:space="preserve"> IF(ISNA(VLOOKUP('3. Calculator'!I15,unitStates,4, FALSE)), "", (VLOOKUP('3. Calculator'!I15,unitStates,4, FALSE)))</f>
        <v/>
      </c>
      <c r="T17" s="326" t="str">
        <f t="shared" si="2"/>
        <v/>
      </c>
      <c r="U17" s="326" t="str">
        <f t="shared" ca="1" si="3"/>
        <v/>
      </c>
      <c r="V17" s="326" t="str">
        <f t="shared" ca="1" si="4"/>
        <v/>
      </c>
      <c r="W17" s="380" t="str">
        <f t="shared" ca="1" si="5"/>
        <v/>
      </c>
      <c r="X17" s="345" t="str">
        <f>IF(C17="My fuels", "", IF(K17=3, IF(ISNA(VLOOKUP('3. Calculator'!C15,industryEFTableKeys, 3,FALSE)), "", VLOOKUP('3. Calculator'!C15,industryEFTableKeys, 3,FALSE)), ""))</f>
        <v/>
      </c>
      <c r="Y17" s="326" t="str">
        <f t="shared" ca="1" si="6"/>
        <v/>
      </c>
      <c r="Z17" s="326" t="str">
        <f ca="1">+IF(Y17="", "", IF(ISNA(VLOOKUP('3. Calculator'!I15,unitStates,5, FALSE)), "", (VLOOKUP('3. Calculator'!I15,unitStates,5, FALSE))))</f>
        <v/>
      </c>
      <c r="AA17" s="326" t="str">
        <f t="shared" ca="1" si="7"/>
        <v/>
      </c>
      <c r="AB17" s="382" t="str">
        <f t="shared" ca="1" si="8"/>
        <v/>
      </c>
      <c r="AC17" s="379" t="str">
        <f t="shared" si="9"/>
        <v/>
      </c>
      <c r="AD17" s="326" t="str">
        <f t="shared" si="16"/>
        <v/>
      </c>
      <c r="AE17" s="326" t="str">
        <f t="shared" si="10"/>
        <v/>
      </c>
      <c r="AF17" s="326" t="str">
        <f t="shared" si="11"/>
        <v/>
      </c>
      <c r="AG17" s="380" t="str">
        <f t="shared" si="12"/>
        <v/>
      </c>
      <c r="AH17" s="345">
        <f t="shared" ca="1" si="13"/>
        <v>0</v>
      </c>
    </row>
    <row r="18" spans="2:34" x14ac:dyDescent="0.25">
      <c r="B18" s="12" t="str">
        <f>IF('3. Calculator'!B16=0, "", '3. Calculator'!B16)</f>
        <v/>
      </c>
      <c r="C18" s="379" t="str">
        <f>IF('3. Calculator'!D16=0, "", '3. Calculator'!D16)</f>
        <v/>
      </c>
      <c r="D18" s="326" t="str">
        <f>IF('3. Calculator'!E16=0, "", '3. Calculator'!E16)</f>
        <v/>
      </c>
      <c r="E18" s="326">
        <f>IF('3. Calculator'!L16="", 1, IF('3. Calculator'!L16="Not applicable", 1, IF('3. Calculator'!L16="Lower", 1, VLOOKUP('3. Calculator'!E16, HVConversionValues,2,FALSE))))</f>
        <v>1</v>
      </c>
      <c r="F18" s="326" t="str">
        <f>IF('3. Calculator'!H16=0, "", '3. Calculator'!H16)</f>
        <v/>
      </c>
      <c r="G18" s="326" t="str">
        <f>IF('3. Calculator'!I16=0, "", '3. Calculator'!I16)</f>
        <v/>
      </c>
      <c r="H18" s="380" t="str">
        <f>IF('3. Calculator'!C16=0, "", '3. Calculator'!C16)</f>
        <v/>
      </c>
      <c r="I18" s="421" t="str">
        <f ca="1">IF(ghostSpreadsheet_CH4!H18="","",VLOOKUP(D18, INDIRECT(H18), 2, FALSE))</f>
        <v/>
      </c>
      <c r="J18" s="422" t="str">
        <f>IF(ISNA(VLOOKUP('3. Calculator'!E16, fuelInfo, 4, FALSE)),"", (E18*VLOOKUP('3. Calculator'!E16, fuelInfo, 4, FALSE)))</f>
        <v/>
      </c>
      <c r="K18" s="380" t="str">
        <f>IF(ISNA(VLOOKUP('3. Calculator'!I16,unitStates,3,FALSE)), "", (VLOOKUP('3. Calculator'!I16,unitStates,3,FALSE)))</f>
        <v/>
      </c>
      <c r="L18" s="345" t="str">
        <f>IF(C18="My fuels", "", IF(K18=0, VLOOKUP('3. Calculator'!I16, energyEFs,3,FALSE),""))</f>
        <v/>
      </c>
      <c r="M18" s="345" t="str">
        <f t="shared" si="14"/>
        <v/>
      </c>
      <c r="N18" s="382" t="str">
        <f t="shared" si="0"/>
        <v/>
      </c>
      <c r="O18" s="379" t="str">
        <f>IF(C18="My fuels", "", IF(K18=1, VLOOKUP('3. Calculator'!I16, solidEFs,3,FALSE),""))</f>
        <v/>
      </c>
      <c r="P18" s="380" t="str">
        <f t="shared" si="15"/>
        <v/>
      </c>
      <c r="Q18" s="379" t="str">
        <f>IF(K18=2,IF(ISNA(VLOOKUP('3. Calculator'!C16,industryEFTableKeys, 2,FALSE)), "", VLOOKUP('3. Calculator'!C16,industryEFTableKeys, 2,FALSE)),"")</f>
        <v/>
      </c>
      <c r="R18" s="326" t="str">
        <f t="shared" ca="1" si="1"/>
        <v/>
      </c>
      <c r="S18" s="326" t="str">
        <f xml:space="preserve"> IF(ISNA(VLOOKUP('3. Calculator'!I16,unitStates,4, FALSE)), "", (VLOOKUP('3. Calculator'!I16,unitStates,4, FALSE)))</f>
        <v/>
      </c>
      <c r="T18" s="326" t="str">
        <f t="shared" si="2"/>
        <v/>
      </c>
      <c r="U18" s="326" t="str">
        <f t="shared" ca="1" si="3"/>
        <v/>
      </c>
      <c r="V18" s="326" t="str">
        <f t="shared" ca="1" si="4"/>
        <v/>
      </c>
      <c r="W18" s="380" t="str">
        <f t="shared" ca="1" si="5"/>
        <v/>
      </c>
      <c r="X18" s="345" t="str">
        <f>IF(C18="My fuels", "", IF(K18=3, IF(ISNA(VLOOKUP('3. Calculator'!C16,industryEFTableKeys, 3,FALSE)), "", VLOOKUP('3. Calculator'!C16,industryEFTableKeys, 3,FALSE)), ""))</f>
        <v/>
      </c>
      <c r="Y18" s="326" t="str">
        <f t="shared" ca="1" si="6"/>
        <v/>
      </c>
      <c r="Z18" s="326" t="str">
        <f ca="1">+IF(Y18="", "", IF(ISNA(VLOOKUP('3. Calculator'!I16,unitStates,5, FALSE)), "", (VLOOKUP('3. Calculator'!I16,unitStates,5, FALSE))))</f>
        <v/>
      </c>
      <c r="AA18" s="326" t="str">
        <f t="shared" ca="1" si="7"/>
        <v/>
      </c>
      <c r="AB18" s="382" t="str">
        <f t="shared" ca="1" si="8"/>
        <v/>
      </c>
      <c r="AC18" s="379" t="str">
        <f t="shared" si="9"/>
        <v/>
      </c>
      <c r="AD18" s="326" t="str">
        <f t="shared" si="16"/>
        <v/>
      </c>
      <c r="AE18" s="326" t="str">
        <f t="shared" si="10"/>
        <v/>
      </c>
      <c r="AF18" s="326" t="str">
        <f t="shared" si="11"/>
        <v/>
      </c>
      <c r="AG18" s="380" t="str">
        <f t="shared" si="12"/>
        <v/>
      </c>
      <c r="AH18" s="345">
        <f t="shared" ca="1" si="13"/>
        <v>0</v>
      </c>
    </row>
    <row r="19" spans="2:34" x14ac:dyDescent="0.25">
      <c r="B19" s="12" t="str">
        <f>IF('3. Calculator'!B17=0, "", '3. Calculator'!B17)</f>
        <v/>
      </c>
      <c r="C19" s="379" t="str">
        <f>IF('3. Calculator'!D17=0, "", '3. Calculator'!D17)</f>
        <v/>
      </c>
      <c r="D19" s="326" t="str">
        <f>IF('3. Calculator'!E17=0, "", '3. Calculator'!E17)</f>
        <v/>
      </c>
      <c r="E19" s="326">
        <f>IF('3. Calculator'!L17="", 1, IF('3. Calculator'!L17="Not applicable", 1, IF('3. Calculator'!L17="Lower", 1, VLOOKUP('3. Calculator'!E17, HVConversionValues,2,FALSE))))</f>
        <v>1</v>
      </c>
      <c r="F19" s="326" t="str">
        <f>IF('3. Calculator'!H17=0, "", '3. Calculator'!H17)</f>
        <v/>
      </c>
      <c r="G19" s="326" t="str">
        <f>IF('3. Calculator'!I17=0, "", '3. Calculator'!I17)</f>
        <v/>
      </c>
      <c r="H19" s="380" t="str">
        <f>IF('3. Calculator'!C17=0, "", '3. Calculator'!C17)</f>
        <v/>
      </c>
      <c r="I19" s="421" t="str">
        <f ca="1">IF(ghostSpreadsheet_CH4!H19="","",VLOOKUP(D19, INDIRECT(H19), 2, FALSE))</f>
        <v/>
      </c>
      <c r="J19" s="422" t="str">
        <f>IF(ISNA(VLOOKUP('3. Calculator'!E17, fuelInfo, 4, FALSE)),"", (E19*VLOOKUP('3. Calculator'!E17, fuelInfo, 4, FALSE)))</f>
        <v/>
      </c>
      <c r="K19" s="380" t="str">
        <f>IF(ISNA(VLOOKUP('3. Calculator'!I17,unitStates,3,FALSE)), "", (VLOOKUP('3. Calculator'!I17,unitStates,3,FALSE)))</f>
        <v/>
      </c>
      <c r="L19" s="345" t="str">
        <f>IF(C19="My fuels", "", IF(K19=0, VLOOKUP('3. Calculator'!I17, energyEFs,3,FALSE),""))</f>
        <v/>
      </c>
      <c r="M19" s="345" t="str">
        <f t="shared" si="14"/>
        <v/>
      </c>
      <c r="N19" s="382" t="str">
        <f t="shared" si="0"/>
        <v/>
      </c>
      <c r="O19" s="379" t="str">
        <f>IF(C19="My fuels", "", IF(K19=1, VLOOKUP('3. Calculator'!I17, solidEFs,3,FALSE),""))</f>
        <v/>
      </c>
      <c r="P19" s="380" t="str">
        <f t="shared" si="15"/>
        <v/>
      </c>
      <c r="Q19" s="379" t="str">
        <f>IF(K19=2,IF(ISNA(VLOOKUP('3. Calculator'!C17,industryEFTableKeys, 2,FALSE)), "", VLOOKUP('3. Calculator'!C17,industryEFTableKeys, 2,FALSE)),"")</f>
        <v/>
      </c>
      <c r="R19" s="326" t="str">
        <f t="shared" ca="1" si="1"/>
        <v/>
      </c>
      <c r="S19" s="326" t="str">
        <f xml:space="preserve"> IF(ISNA(VLOOKUP('3. Calculator'!I17,unitStates,4, FALSE)), "", (VLOOKUP('3. Calculator'!I17,unitStates,4, FALSE)))</f>
        <v/>
      </c>
      <c r="T19" s="326" t="str">
        <f t="shared" si="2"/>
        <v/>
      </c>
      <c r="U19" s="326" t="str">
        <f t="shared" ca="1" si="3"/>
        <v/>
      </c>
      <c r="V19" s="326" t="str">
        <f t="shared" ca="1" si="4"/>
        <v/>
      </c>
      <c r="W19" s="380" t="str">
        <f t="shared" ca="1" si="5"/>
        <v/>
      </c>
      <c r="X19" s="345" t="str">
        <f>IF(C19="My fuels", "", IF(K19=3, IF(ISNA(VLOOKUP('3. Calculator'!C17,industryEFTableKeys, 3,FALSE)), "", VLOOKUP('3. Calculator'!C17,industryEFTableKeys, 3,FALSE)), ""))</f>
        <v/>
      </c>
      <c r="Y19" s="326" t="str">
        <f t="shared" ca="1" si="6"/>
        <v/>
      </c>
      <c r="Z19" s="326" t="str">
        <f ca="1">+IF(Y19="", "", IF(ISNA(VLOOKUP('3. Calculator'!I17,unitStates,5, FALSE)), "", (VLOOKUP('3. Calculator'!I17,unitStates,5, FALSE))))</f>
        <v/>
      </c>
      <c r="AA19" s="326" t="str">
        <f t="shared" ca="1" si="7"/>
        <v/>
      </c>
      <c r="AB19" s="382" t="str">
        <f t="shared" ca="1" si="8"/>
        <v/>
      </c>
      <c r="AC19" s="379" t="str">
        <f t="shared" si="9"/>
        <v/>
      </c>
      <c r="AD19" s="326" t="str">
        <f t="shared" si="16"/>
        <v/>
      </c>
      <c r="AE19" s="326" t="str">
        <f t="shared" si="10"/>
        <v/>
      </c>
      <c r="AF19" s="326" t="str">
        <f t="shared" si="11"/>
        <v/>
      </c>
      <c r="AG19" s="380" t="str">
        <f t="shared" si="12"/>
        <v/>
      </c>
      <c r="AH19" s="345">
        <f t="shared" ca="1" si="13"/>
        <v>0</v>
      </c>
    </row>
    <row r="20" spans="2:34" x14ac:dyDescent="0.25">
      <c r="B20" s="12" t="str">
        <f>IF('3. Calculator'!B18=0, "", '3. Calculator'!B18)</f>
        <v/>
      </c>
      <c r="C20" s="379" t="str">
        <f>IF('3. Calculator'!D18=0, "", '3. Calculator'!D18)</f>
        <v/>
      </c>
      <c r="D20" s="326" t="str">
        <f>IF('3. Calculator'!E18=0, "", '3. Calculator'!E18)</f>
        <v/>
      </c>
      <c r="E20" s="326">
        <f>IF('3. Calculator'!L18="", 1, IF('3. Calculator'!L18="Not applicable", 1, IF('3. Calculator'!L18="Lower", 1, VLOOKUP('3. Calculator'!E18, HVConversionValues,2,FALSE))))</f>
        <v>1</v>
      </c>
      <c r="F20" s="326" t="str">
        <f>IF('3. Calculator'!H18=0, "", '3. Calculator'!H18)</f>
        <v/>
      </c>
      <c r="G20" s="326" t="str">
        <f>IF('3. Calculator'!I18=0, "", '3. Calculator'!I18)</f>
        <v/>
      </c>
      <c r="H20" s="380" t="str">
        <f>IF('3. Calculator'!C18=0, "", '3. Calculator'!C18)</f>
        <v/>
      </c>
      <c r="I20" s="421" t="str">
        <f ca="1">IF(ghostSpreadsheet_CH4!H20="","",VLOOKUP(D20, INDIRECT(H20), 2, FALSE))</f>
        <v/>
      </c>
      <c r="J20" s="422" t="str">
        <f>IF(ISNA(VLOOKUP('3. Calculator'!E18, fuelInfo, 4, FALSE)),"", (E20*VLOOKUP('3. Calculator'!E18, fuelInfo, 4, FALSE)))</f>
        <v/>
      </c>
      <c r="K20" s="380" t="str">
        <f>IF(ISNA(VLOOKUP('3. Calculator'!I18,unitStates,3,FALSE)), "", (VLOOKUP('3. Calculator'!I18,unitStates,3,FALSE)))</f>
        <v/>
      </c>
      <c r="L20" s="345" t="str">
        <f>IF(C20="My fuels", "", IF(K20=0, VLOOKUP('3. Calculator'!I18, energyEFs,3,FALSE),""))</f>
        <v/>
      </c>
      <c r="M20" s="345" t="str">
        <f t="shared" si="14"/>
        <v/>
      </c>
      <c r="N20" s="382" t="str">
        <f t="shared" si="0"/>
        <v/>
      </c>
      <c r="O20" s="379" t="str">
        <f>IF(C20="My fuels", "", IF(K20=1, VLOOKUP('3. Calculator'!I18, solidEFs,3,FALSE),""))</f>
        <v/>
      </c>
      <c r="P20" s="380" t="str">
        <f t="shared" si="15"/>
        <v/>
      </c>
      <c r="Q20" s="379" t="str">
        <f>IF(K20=2,IF(ISNA(VLOOKUP('3. Calculator'!C18,industryEFTableKeys, 2,FALSE)), "", VLOOKUP('3. Calculator'!C18,industryEFTableKeys, 2,FALSE)),"")</f>
        <v/>
      </c>
      <c r="R20" s="326" t="str">
        <f t="shared" ca="1" si="1"/>
        <v/>
      </c>
      <c r="S20" s="326" t="str">
        <f xml:space="preserve"> IF(ISNA(VLOOKUP('3. Calculator'!I18,unitStates,4, FALSE)), "", (VLOOKUP('3. Calculator'!I18,unitStates,4, FALSE)))</f>
        <v/>
      </c>
      <c r="T20" s="326" t="str">
        <f t="shared" si="2"/>
        <v/>
      </c>
      <c r="U20" s="326" t="str">
        <f t="shared" ca="1" si="3"/>
        <v/>
      </c>
      <c r="V20" s="326" t="str">
        <f t="shared" ca="1" si="4"/>
        <v/>
      </c>
      <c r="W20" s="380" t="str">
        <f t="shared" ca="1" si="5"/>
        <v/>
      </c>
      <c r="X20" s="345" t="str">
        <f>IF(C20="My fuels", "", IF(K20=3, IF(ISNA(VLOOKUP('3. Calculator'!C18,industryEFTableKeys, 3,FALSE)), "", VLOOKUP('3. Calculator'!C18,industryEFTableKeys, 3,FALSE)), ""))</f>
        <v/>
      </c>
      <c r="Y20" s="326" t="str">
        <f t="shared" ca="1" si="6"/>
        <v/>
      </c>
      <c r="Z20" s="326" t="str">
        <f ca="1">+IF(Y20="", "", IF(ISNA(VLOOKUP('3. Calculator'!I18,unitStates,5, FALSE)), "", (VLOOKUP('3. Calculator'!I18,unitStates,5, FALSE))))</f>
        <v/>
      </c>
      <c r="AA20" s="326" t="str">
        <f t="shared" ca="1" si="7"/>
        <v/>
      </c>
      <c r="AB20" s="382" t="str">
        <f t="shared" ca="1" si="8"/>
        <v/>
      </c>
      <c r="AC20" s="379" t="str">
        <f t="shared" si="9"/>
        <v/>
      </c>
      <c r="AD20" s="326" t="str">
        <f t="shared" si="16"/>
        <v/>
      </c>
      <c r="AE20" s="326" t="str">
        <f t="shared" si="10"/>
        <v/>
      </c>
      <c r="AF20" s="326" t="str">
        <f t="shared" si="11"/>
        <v/>
      </c>
      <c r="AG20" s="380" t="str">
        <f t="shared" si="12"/>
        <v/>
      </c>
      <c r="AH20" s="345">
        <f t="shared" ca="1" si="13"/>
        <v>0</v>
      </c>
    </row>
    <row r="21" spans="2:34" x14ac:dyDescent="0.25">
      <c r="B21" s="12" t="str">
        <f>IF('3. Calculator'!B19=0, "", '3. Calculator'!B19)</f>
        <v/>
      </c>
      <c r="C21" s="379" t="str">
        <f>IF('3. Calculator'!D19=0, "", '3. Calculator'!D19)</f>
        <v/>
      </c>
      <c r="D21" s="326" t="str">
        <f>IF('3. Calculator'!E19=0, "", '3. Calculator'!E19)</f>
        <v/>
      </c>
      <c r="E21" s="326">
        <f>IF('3. Calculator'!L19="", 1, IF('3. Calculator'!L19="Not applicable", 1, IF('3. Calculator'!L19="Lower", 1, VLOOKUP('3. Calculator'!E19, HVConversionValues,2,FALSE))))</f>
        <v>1</v>
      </c>
      <c r="F21" s="326" t="str">
        <f>IF('3. Calculator'!H19=0, "", '3. Calculator'!H19)</f>
        <v/>
      </c>
      <c r="G21" s="326" t="str">
        <f>IF('3. Calculator'!I19=0, "", '3. Calculator'!I19)</f>
        <v/>
      </c>
      <c r="H21" s="380" t="str">
        <f>IF('3. Calculator'!C19=0, "", '3. Calculator'!C19)</f>
        <v/>
      </c>
      <c r="I21" s="421" t="str">
        <f ca="1">IF(ghostSpreadsheet_CH4!H21="","",VLOOKUP(D21, INDIRECT(H21), 2, FALSE))</f>
        <v/>
      </c>
      <c r="J21" s="422" t="str">
        <f>IF(ISNA(VLOOKUP('3. Calculator'!E19, fuelInfo, 4, FALSE)),"", (E21*VLOOKUP('3. Calculator'!E19, fuelInfo, 4, FALSE)))</f>
        <v/>
      </c>
      <c r="K21" s="380" t="str">
        <f>IF(ISNA(VLOOKUP('3. Calculator'!I19,unitStates,3,FALSE)), "", (VLOOKUP('3. Calculator'!I19,unitStates,3,FALSE)))</f>
        <v/>
      </c>
      <c r="L21" s="345" t="str">
        <f>IF(C21="My fuels", "", IF(K21=0, VLOOKUP('3. Calculator'!I19, energyEFs,3,FALSE),""))</f>
        <v/>
      </c>
      <c r="M21" s="345" t="str">
        <f t="shared" si="14"/>
        <v/>
      </c>
      <c r="N21" s="382" t="str">
        <f t="shared" si="0"/>
        <v/>
      </c>
      <c r="O21" s="379" t="str">
        <f>IF(C21="My fuels", "", IF(K21=1, VLOOKUP('3. Calculator'!I19, solidEFs,3,FALSE),""))</f>
        <v/>
      </c>
      <c r="P21" s="380" t="str">
        <f t="shared" si="15"/>
        <v/>
      </c>
      <c r="Q21" s="379" t="str">
        <f>IF(K21=2,IF(ISNA(VLOOKUP('3. Calculator'!C19,industryEFTableKeys, 2,FALSE)), "", VLOOKUP('3. Calculator'!C19,industryEFTableKeys, 2,FALSE)),"")</f>
        <v/>
      </c>
      <c r="R21" s="326" t="str">
        <f t="shared" ca="1" si="1"/>
        <v/>
      </c>
      <c r="S21" s="326" t="str">
        <f xml:space="preserve"> IF(ISNA(VLOOKUP('3. Calculator'!I19,unitStates,4, FALSE)), "", (VLOOKUP('3. Calculator'!I19,unitStates,4, FALSE)))</f>
        <v/>
      </c>
      <c r="T21" s="326" t="str">
        <f t="shared" si="2"/>
        <v/>
      </c>
      <c r="U21" s="326" t="str">
        <f t="shared" ca="1" si="3"/>
        <v/>
      </c>
      <c r="V21" s="326" t="str">
        <f t="shared" ca="1" si="4"/>
        <v/>
      </c>
      <c r="W21" s="380" t="str">
        <f t="shared" ca="1" si="5"/>
        <v/>
      </c>
      <c r="X21" s="345" t="str">
        <f>IF(C21="My fuels", "", IF(K21=3, IF(ISNA(VLOOKUP('3. Calculator'!C19,industryEFTableKeys, 3,FALSE)), "", VLOOKUP('3. Calculator'!C19,industryEFTableKeys, 3,FALSE)), ""))</f>
        <v/>
      </c>
      <c r="Y21" s="326" t="str">
        <f t="shared" ca="1" si="6"/>
        <v/>
      </c>
      <c r="Z21" s="326" t="str">
        <f ca="1">+IF(Y21="", "", IF(ISNA(VLOOKUP('3. Calculator'!I19,unitStates,5, FALSE)), "", (VLOOKUP('3. Calculator'!I19,unitStates,5, FALSE))))</f>
        <v/>
      </c>
      <c r="AA21" s="326" t="str">
        <f t="shared" ca="1" si="7"/>
        <v/>
      </c>
      <c r="AB21" s="382" t="str">
        <f t="shared" ca="1" si="8"/>
        <v/>
      </c>
      <c r="AC21" s="379" t="str">
        <f t="shared" si="9"/>
        <v/>
      </c>
      <c r="AD21" s="326" t="str">
        <f t="shared" si="16"/>
        <v/>
      </c>
      <c r="AE21" s="326" t="str">
        <f t="shared" si="10"/>
        <v/>
      </c>
      <c r="AF21" s="326" t="str">
        <f t="shared" si="11"/>
        <v/>
      </c>
      <c r="AG21" s="380" t="str">
        <f t="shared" si="12"/>
        <v/>
      </c>
      <c r="AH21" s="345">
        <f t="shared" ca="1" si="13"/>
        <v>0</v>
      </c>
    </row>
    <row r="22" spans="2:34" x14ac:dyDescent="0.25">
      <c r="B22" s="12" t="str">
        <f>IF('3. Calculator'!B20=0, "", '3. Calculator'!B20)</f>
        <v/>
      </c>
      <c r="C22" s="379" t="str">
        <f>IF('3. Calculator'!D20=0, "", '3. Calculator'!D20)</f>
        <v/>
      </c>
      <c r="D22" s="326" t="str">
        <f>IF('3. Calculator'!E20=0, "", '3. Calculator'!E20)</f>
        <v/>
      </c>
      <c r="E22" s="326">
        <f>IF('3. Calculator'!L20="", 1, IF('3. Calculator'!L20="Not applicable", 1, IF('3. Calculator'!L20="Lower", 1, VLOOKUP('3. Calculator'!E20, HVConversionValues,2,FALSE))))</f>
        <v>1</v>
      </c>
      <c r="F22" s="326" t="str">
        <f>IF('3. Calculator'!H20=0, "", '3. Calculator'!H20)</f>
        <v/>
      </c>
      <c r="G22" s="326" t="str">
        <f>IF('3. Calculator'!I20=0, "", '3. Calculator'!I20)</f>
        <v/>
      </c>
      <c r="H22" s="380" t="str">
        <f>IF('3. Calculator'!C20=0, "", '3. Calculator'!C20)</f>
        <v/>
      </c>
      <c r="I22" s="421" t="str">
        <f ca="1">IF(ghostSpreadsheet_CH4!H22="","",VLOOKUP(D22, INDIRECT(H22), 2, FALSE))</f>
        <v/>
      </c>
      <c r="J22" s="422" t="str">
        <f>IF(ISNA(VLOOKUP('3. Calculator'!E20, fuelInfo, 4, FALSE)),"", (E22*VLOOKUP('3. Calculator'!E20, fuelInfo, 4, FALSE)))</f>
        <v/>
      </c>
      <c r="K22" s="380" t="str">
        <f>IF(ISNA(VLOOKUP('3. Calculator'!I20,unitStates,3,FALSE)), "", (VLOOKUP('3. Calculator'!I20,unitStates,3,FALSE)))</f>
        <v/>
      </c>
      <c r="L22" s="345" t="str">
        <f>IF(C22="My fuels", "", IF(K22=0, VLOOKUP('3. Calculator'!I20, energyEFs,3,FALSE),""))</f>
        <v/>
      </c>
      <c r="M22" s="345" t="str">
        <f t="shared" si="14"/>
        <v/>
      </c>
      <c r="N22" s="382" t="str">
        <f t="shared" si="0"/>
        <v/>
      </c>
      <c r="O22" s="379" t="str">
        <f>IF(C22="My fuels", "", IF(K22=1, VLOOKUP('3. Calculator'!I20, solidEFs,3,FALSE),""))</f>
        <v/>
      </c>
      <c r="P22" s="380" t="str">
        <f t="shared" si="15"/>
        <v/>
      </c>
      <c r="Q22" s="379" t="str">
        <f>IF(K22=2,IF(ISNA(VLOOKUP('3. Calculator'!C20,industryEFTableKeys, 2,FALSE)), "", VLOOKUP('3. Calculator'!C20,industryEFTableKeys, 2,FALSE)),"")</f>
        <v/>
      </c>
      <c r="R22" s="326" t="str">
        <f t="shared" ca="1" si="1"/>
        <v/>
      </c>
      <c r="S22" s="326" t="str">
        <f xml:space="preserve"> IF(ISNA(VLOOKUP('3. Calculator'!I20,unitStates,4, FALSE)), "", (VLOOKUP('3. Calculator'!I20,unitStates,4, FALSE)))</f>
        <v/>
      </c>
      <c r="T22" s="326" t="str">
        <f t="shared" si="2"/>
        <v/>
      </c>
      <c r="U22" s="326" t="str">
        <f t="shared" ca="1" si="3"/>
        <v/>
      </c>
      <c r="V22" s="326" t="str">
        <f t="shared" ca="1" si="4"/>
        <v/>
      </c>
      <c r="W22" s="380" t="str">
        <f t="shared" ca="1" si="5"/>
        <v/>
      </c>
      <c r="X22" s="345" t="str">
        <f>IF(C22="My fuels", "", IF(K22=3, IF(ISNA(VLOOKUP('3. Calculator'!C20,industryEFTableKeys, 3,FALSE)), "", VLOOKUP('3. Calculator'!C20,industryEFTableKeys, 3,FALSE)), ""))</f>
        <v/>
      </c>
      <c r="Y22" s="326" t="str">
        <f t="shared" ca="1" si="6"/>
        <v/>
      </c>
      <c r="Z22" s="326" t="str">
        <f ca="1">+IF(Y22="", "", IF(ISNA(VLOOKUP('3. Calculator'!I20,unitStates,5, FALSE)), "", (VLOOKUP('3. Calculator'!I20,unitStates,5, FALSE))))</f>
        <v/>
      </c>
      <c r="AA22" s="326" t="str">
        <f t="shared" ca="1" si="7"/>
        <v/>
      </c>
      <c r="AB22" s="382" t="str">
        <f t="shared" ca="1" si="8"/>
        <v/>
      </c>
      <c r="AC22" s="379" t="str">
        <f t="shared" si="9"/>
        <v/>
      </c>
      <c r="AD22" s="326" t="str">
        <f t="shared" si="16"/>
        <v/>
      </c>
      <c r="AE22" s="326" t="str">
        <f t="shared" si="10"/>
        <v/>
      </c>
      <c r="AF22" s="326" t="str">
        <f t="shared" si="11"/>
        <v/>
      </c>
      <c r="AG22" s="380" t="str">
        <f t="shared" si="12"/>
        <v/>
      </c>
      <c r="AH22" s="345">
        <f t="shared" ca="1" si="13"/>
        <v>0</v>
      </c>
    </row>
    <row r="23" spans="2:34" x14ac:dyDescent="0.25">
      <c r="B23" s="12" t="str">
        <f>IF('3. Calculator'!B21=0, "", '3. Calculator'!B21)</f>
        <v/>
      </c>
      <c r="C23" s="379" t="str">
        <f>IF('3. Calculator'!D21=0, "", '3. Calculator'!D21)</f>
        <v/>
      </c>
      <c r="D23" s="326" t="str">
        <f>IF('3. Calculator'!E21=0, "", '3. Calculator'!E21)</f>
        <v/>
      </c>
      <c r="E23" s="326">
        <f>IF('3. Calculator'!L21="", 1, IF('3. Calculator'!L21="Not applicable", 1, IF('3. Calculator'!L21="Lower", 1, VLOOKUP('3. Calculator'!E21, HVConversionValues,2,FALSE))))</f>
        <v>1</v>
      </c>
      <c r="F23" s="326" t="str">
        <f>IF('3. Calculator'!H21=0, "", '3. Calculator'!H21)</f>
        <v/>
      </c>
      <c r="G23" s="326" t="str">
        <f>IF('3. Calculator'!I21=0, "", '3. Calculator'!I21)</f>
        <v/>
      </c>
      <c r="H23" s="380" t="str">
        <f>IF('3. Calculator'!C21=0, "", '3. Calculator'!C21)</f>
        <v/>
      </c>
      <c r="I23" s="421" t="str">
        <f ca="1">IF(ghostSpreadsheet_CH4!H23="","",VLOOKUP(D23, INDIRECT(H23), 2, FALSE))</f>
        <v/>
      </c>
      <c r="J23" s="422" t="str">
        <f>IF(ISNA(VLOOKUP('3. Calculator'!E21, fuelInfo, 4, FALSE)),"", (E23*VLOOKUP('3. Calculator'!E21, fuelInfo, 4, FALSE)))</f>
        <v/>
      </c>
      <c r="K23" s="380" t="str">
        <f>IF(ISNA(VLOOKUP('3. Calculator'!I21,unitStates,3,FALSE)), "", (VLOOKUP('3. Calculator'!I21,unitStates,3,FALSE)))</f>
        <v/>
      </c>
      <c r="L23" s="345" t="str">
        <f>IF(C23="My fuels", "", IF(K23=0, VLOOKUP('3. Calculator'!I21, energyEFs,3,FALSE),""))</f>
        <v/>
      </c>
      <c r="M23" s="345" t="str">
        <f t="shared" si="14"/>
        <v/>
      </c>
      <c r="N23" s="382" t="str">
        <f t="shared" si="0"/>
        <v/>
      </c>
      <c r="O23" s="379" t="str">
        <f>IF(C23="My fuels", "", IF(K23=1, VLOOKUP('3. Calculator'!I21, solidEFs,3,FALSE),""))</f>
        <v/>
      </c>
      <c r="P23" s="380" t="str">
        <f t="shared" si="15"/>
        <v/>
      </c>
      <c r="Q23" s="379" t="str">
        <f>IF(K23=2,IF(ISNA(VLOOKUP('3. Calculator'!C21,industryEFTableKeys, 2,FALSE)), "", VLOOKUP('3. Calculator'!C21,industryEFTableKeys, 2,FALSE)),"")</f>
        <v/>
      </c>
      <c r="R23" s="326" t="str">
        <f t="shared" ca="1" si="1"/>
        <v/>
      </c>
      <c r="S23" s="326" t="str">
        <f xml:space="preserve"> IF(ISNA(VLOOKUP('3. Calculator'!I21,unitStates,4, FALSE)), "", (VLOOKUP('3. Calculator'!I21,unitStates,4, FALSE)))</f>
        <v/>
      </c>
      <c r="T23" s="326" t="str">
        <f t="shared" si="2"/>
        <v/>
      </c>
      <c r="U23" s="326" t="str">
        <f t="shared" ca="1" si="3"/>
        <v/>
      </c>
      <c r="V23" s="326" t="str">
        <f t="shared" ca="1" si="4"/>
        <v/>
      </c>
      <c r="W23" s="380" t="str">
        <f t="shared" ca="1" si="5"/>
        <v/>
      </c>
      <c r="X23" s="345" t="str">
        <f>IF(C23="My fuels", "", IF(K23=3, IF(ISNA(VLOOKUP('3. Calculator'!C21,industryEFTableKeys, 3,FALSE)), "", VLOOKUP('3. Calculator'!C21,industryEFTableKeys, 3,FALSE)), ""))</f>
        <v/>
      </c>
      <c r="Y23" s="326" t="str">
        <f t="shared" ca="1" si="6"/>
        <v/>
      </c>
      <c r="Z23" s="326" t="str">
        <f ca="1">+IF(Y23="", "", IF(ISNA(VLOOKUP('3. Calculator'!I21,unitStates,5, FALSE)), "", (VLOOKUP('3. Calculator'!I21,unitStates,5, FALSE))))</f>
        <v/>
      </c>
      <c r="AA23" s="326" t="str">
        <f t="shared" ca="1" si="7"/>
        <v/>
      </c>
      <c r="AB23" s="382" t="str">
        <f t="shared" ca="1" si="8"/>
        <v/>
      </c>
      <c r="AC23" s="379" t="str">
        <f t="shared" si="9"/>
        <v/>
      </c>
      <c r="AD23" s="326" t="str">
        <f t="shared" si="16"/>
        <v/>
      </c>
      <c r="AE23" s="326" t="str">
        <f t="shared" si="10"/>
        <v/>
      </c>
      <c r="AF23" s="326" t="str">
        <f t="shared" si="11"/>
        <v/>
      </c>
      <c r="AG23" s="380" t="str">
        <f t="shared" si="12"/>
        <v/>
      </c>
      <c r="AH23" s="345">
        <f t="shared" ca="1" si="13"/>
        <v>0</v>
      </c>
    </row>
    <row r="24" spans="2:34" x14ac:dyDescent="0.25">
      <c r="B24" s="12" t="str">
        <f>IF('3. Calculator'!B22=0, "", '3. Calculator'!B22)</f>
        <v/>
      </c>
      <c r="C24" s="379" t="str">
        <f>IF('3. Calculator'!D22=0, "", '3. Calculator'!D22)</f>
        <v/>
      </c>
      <c r="D24" s="326" t="str">
        <f>IF('3. Calculator'!E22=0, "", '3. Calculator'!E22)</f>
        <v/>
      </c>
      <c r="E24" s="326">
        <f>IF('3. Calculator'!L22="", 1, IF('3. Calculator'!L22="Not applicable", 1, IF('3. Calculator'!L22="Lower", 1, VLOOKUP('3. Calculator'!E22, HVConversionValues,2,FALSE))))</f>
        <v>1</v>
      </c>
      <c r="F24" s="326" t="str">
        <f>IF('3. Calculator'!H22=0, "", '3. Calculator'!H22)</f>
        <v/>
      </c>
      <c r="G24" s="326" t="str">
        <f>IF('3. Calculator'!I22=0, "", '3. Calculator'!I22)</f>
        <v/>
      </c>
      <c r="H24" s="380" t="str">
        <f>IF('3. Calculator'!C22=0, "", '3. Calculator'!C22)</f>
        <v/>
      </c>
      <c r="I24" s="421" t="str">
        <f ca="1">IF(ghostSpreadsheet_CH4!H24="","",VLOOKUP(D24, INDIRECT(H24), 2, FALSE))</f>
        <v/>
      </c>
      <c r="J24" s="422" t="str">
        <f>IF(ISNA(VLOOKUP('3. Calculator'!E22, fuelInfo, 4, FALSE)),"", (E24*VLOOKUP('3. Calculator'!E22, fuelInfo, 4, FALSE)))</f>
        <v/>
      </c>
      <c r="K24" s="380" t="str">
        <f>IF(ISNA(VLOOKUP('3. Calculator'!I22,unitStates,3,FALSE)), "", (VLOOKUP('3. Calculator'!I22,unitStates,3,FALSE)))</f>
        <v/>
      </c>
      <c r="L24" s="345" t="str">
        <f>IF(C24="My fuels", "", IF(K24=0, VLOOKUP('3. Calculator'!I22, energyEFs,3,FALSE),""))</f>
        <v/>
      </c>
      <c r="M24" s="345" t="str">
        <f t="shared" si="14"/>
        <v/>
      </c>
      <c r="N24" s="382" t="str">
        <f t="shared" si="0"/>
        <v/>
      </c>
      <c r="O24" s="379" t="str">
        <f>IF(C24="My fuels", "", IF(K24=1, VLOOKUP('3. Calculator'!I22, solidEFs,3,FALSE),""))</f>
        <v/>
      </c>
      <c r="P24" s="380" t="str">
        <f t="shared" si="15"/>
        <v/>
      </c>
      <c r="Q24" s="379" t="str">
        <f>IF(K24=2,IF(ISNA(VLOOKUP('3. Calculator'!C22,industryEFTableKeys, 2,FALSE)), "", VLOOKUP('3. Calculator'!C22,industryEFTableKeys, 2,FALSE)),"")</f>
        <v/>
      </c>
      <c r="R24" s="326" t="str">
        <f t="shared" ca="1" si="1"/>
        <v/>
      </c>
      <c r="S24" s="326" t="str">
        <f xml:space="preserve"> IF(ISNA(VLOOKUP('3. Calculator'!I22,unitStates,4, FALSE)), "", (VLOOKUP('3. Calculator'!I22,unitStates,4, FALSE)))</f>
        <v/>
      </c>
      <c r="T24" s="326" t="str">
        <f t="shared" si="2"/>
        <v/>
      </c>
      <c r="U24" s="326" t="str">
        <f t="shared" ca="1" si="3"/>
        <v/>
      </c>
      <c r="V24" s="326" t="str">
        <f t="shared" ca="1" si="4"/>
        <v/>
      </c>
      <c r="W24" s="380" t="str">
        <f t="shared" ca="1" si="5"/>
        <v/>
      </c>
      <c r="X24" s="345" t="str">
        <f>IF(C24="My fuels", "", IF(K24=3, IF(ISNA(VLOOKUP('3. Calculator'!C22,industryEFTableKeys, 3,FALSE)), "", VLOOKUP('3. Calculator'!C22,industryEFTableKeys, 3,FALSE)), ""))</f>
        <v/>
      </c>
      <c r="Y24" s="326" t="str">
        <f t="shared" ca="1" si="6"/>
        <v/>
      </c>
      <c r="Z24" s="326" t="str">
        <f ca="1">+IF(Y24="", "", IF(ISNA(VLOOKUP('3. Calculator'!I22,unitStates,5, FALSE)), "", (VLOOKUP('3. Calculator'!I22,unitStates,5, FALSE))))</f>
        <v/>
      </c>
      <c r="AA24" s="326" t="str">
        <f t="shared" ca="1" si="7"/>
        <v/>
      </c>
      <c r="AB24" s="382" t="str">
        <f t="shared" ca="1" si="8"/>
        <v/>
      </c>
      <c r="AC24" s="379" t="str">
        <f t="shared" si="9"/>
        <v/>
      </c>
      <c r="AD24" s="326" t="str">
        <f t="shared" si="16"/>
        <v/>
      </c>
      <c r="AE24" s="326" t="str">
        <f t="shared" si="10"/>
        <v/>
      </c>
      <c r="AF24" s="326" t="str">
        <f t="shared" si="11"/>
        <v/>
      </c>
      <c r="AG24" s="380" t="str">
        <f t="shared" si="12"/>
        <v/>
      </c>
      <c r="AH24" s="345">
        <f t="shared" ca="1" si="13"/>
        <v>0</v>
      </c>
    </row>
    <row r="25" spans="2:34" x14ac:dyDescent="0.25">
      <c r="B25" s="12" t="str">
        <f>IF('3. Calculator'!B23=0, "", '3. Calculator'!B23)</f>
        <v/>
      </c>
      <c r="C25" s="379" t="str">
        <f>IF('3. Calculator'!D23=0, "", '3. Calculator'!D23)</f>
        <v/>
      </c>
      <c r="D25" s="326" t="str">
        <f>IF('3. Calculator'!E23=0, "", '3. Calculator'!E23)</f>
        <v/>
      </c>
      <c r="E25" s="326">
        <f>IF('3. Calculator'!L23="", 1, IF('3. Calculator'!L23="Not applicable", 1, IF('3. Calculator'!L23="Lower", 1, VLOOKUP('3. Calculator'!E23, HVConversionValues,2,FALSE))))</f>
        <v>1</v>
      </c>
      <c r="F25" s="326" t="str">
        <f>IF('3. Calculator'!H23=0, "", '3. Calculator'!H23)</f>
        <v/>
      </c>
      <c r="G25" s="326" t="str">
        <f>IF('3. Calculator'!I23=0, "", '3. Calculator'!I23)</f>
        <v/>
      </c>
      <c r="H25" s="380" t="str">
        <f>IF('3. Calculator'!C23=0, "", '3. Calculator'!C23)</f>
        <v/>
      </c>
      <c r="I25" s="421" t="str">
        <f ca="1">IF(ghostSpreadsheet_CH4!H25="","",VLOOKUP(D25, INDIRECT(H25), 2, FALSE))</f>
        <v/>
      </c>
      <c r="J25" s="422" t="str">
        <f>IF(ISNA(VLOOKUP('3. Calculator'!E23, fuelInfo, 4, FALSE)),"", (E25*VLOOKUP('3. Calculator'!E23, fuelInfo, 4, FALSE)))</f>
        <v/>
      </c>
      <c r="K25" s="380" t="str">
        <f>IF(ISNA(VLOOKUP('3. Calculator'!I23,unitStates,3,FALSE)), "", (VLOOKUP('3. Calculator'!I23,unitStates,3,FALSE)))</f>
        <v/>
      </c>
      <c r="L25" s="345" t="str">
        <f>IF(C25="My fuels", "", IF(K25=0, VLOOKUP('3. Calculator'!I23, energyEFs,3,FALSE),""))</f>
        <v/>
      </c>
      <c r="M25" s="345" t="str">
        <f t="shared" si="14"/>
        <v/>
      </c>
      <c r="N25" s="382" t="str">
        <f t="shared" si="0"/>
        <v/>
      </c>
      <c r="O25" s="379" t="str">
        <f>IF(C25="My fuels", "", IF(K25=1, VLOOKUP('3. Calculator'!I23, solidEFs,3,FALSE),""))</f>
        <v/>
      </c>
      <c r="P25" s="380" t="str">
        <f t="shared" si="15"/>
        <v/>
      </c>
      <c r="Q25" s="379" t="str">
        <f>IF(K25=2,IF(ISNA(VLOOKUP('3. Calculator'!C23,industryEFTableKeys, 2,FALSE)), "", VLOOKUP('3. Calculator'!C23,industryEFTableKeys, 2,FALSE)),"")</f>
        <v/>
      </c>
      <c r="R25" s="326" t="str">
        <f t="shared" ca="1" si="1"/>
        <v/>
      </c>
      <c r="S25" s="326" t="str">
        <f xml:space="preserve"> IF(ISNA(VLOOKUP('3. Calculator'!I23,unitStates,4, FALSE)), "", (VLOOKUP('3. Calculator'!I23,unitStates,4, FALSE)))</f>
        <v/>
      </c>
      <c r="T25" s="326" t="str">
        <f t="shared" si="2"/>
        <v/>
      </c>
      <c r="U25" s="326" t="str">
        <f t="shared" ca="1" si="3"/>
        <v/>
      </c>
      <c r="V25" s="326" t="str">
        <f t="shared" ca="1" si="4"/>
        <v/>
      </c>
      <c r="W25" s="380" t="str">
        <f t="shared" ca="1" si="5"/>
        <v/>
      </c>
      <c r="X25" s="345" t="str">
        <f>IF(C25="My fuels", "", IF(K25=3, IF(ISNA(VLOOKUP('3. Calculator'!C23,industryEFTableKeys, 3,FALSE)), "", VLOOKUP('3. Calculator'!C23,industryEFTableKeys, 3,FALSE)), ""))</f>
        <v/>
      </c>
      <c r="Y25" s="326" t="str">
        <f t="shared" ca="1" si="6"/>
        <v/>
      </c>
      <c r="Z25" s="326" t="str">
        <f ca="1">+IF(Y25="", "", IF(ISNA(VLOOKUP('3. Calculator'!I23,unitStates,5, FALSE)), "", (VLOOKUP('3. Calculator'!I23,unitStates,5, FALSE))))</f>
        <v/>
      </c>
      <c r="AA25" s="326" t="str">
        <f t="shared" ca="1" si="7"/>
        <v/>
      </c>
      <c r="AB25" s="382" t="str">
        <f t="shared" ca="1" si="8"/>
        <v/>
      </c>
      <c r="AC25" s="379" t="str">
        <f t="shared" si="9"/>
        <v/>
      </c>
      <c r="AD25" s="326" t="str">
        <f t="shared" si="16"/>
        <v/>
      </c>
      <c r="AE25" s="326" t="str">
        <f t="shared" si="10"/>
        <v/>
      </c>
      <c r="AF25" s="326" t="str">
        <f t="shared" si="11"/>
        <v/>
      </c>
      <c r="AG25" s="380" t="str">
        <f t="shared" si="12"/>
        <v/>
      </c>
      <c r="AH25" s="345">
        <f t="shared" ca="1" si="13"/>
        <v>0</v>
      </c>
    </row>
    <row r="26" spans="2:34" x14ac:dyDescent="0.25">
      <c r="B26" s="12" t="str">
        <f>IF('3. Calculator'!B24=0, "", '3. Calculator'!B24)</f>
        <v/>
      </c>
      <c r="C26" s="379" t="str">
        <f>IF('3. Calculator'!D24=0, "", '3. Calculator'!D24)</f>
        <v/>
      </c>
      <c r="D26" s="326" t="str">
        <f>IF('3. Calculator'!E24=0, "", '3. Calculator'!E24)</f>
        <v/>
      </c>
      <c r="E26" s="326">
        <f>IF('3. Calculator'!L24="", 1, IF('3. Calculator'!L24="Not applicable", 1, IF('3. Calculator'!L24="Lower", 1, VLOOKUP('3. Calculator'!E24, HVConversionValues,2,FALSE))))</f>
        <v>1</v>
      </c>
      <c r="F26" s="326" t="str">
        <f>IF('3. Calculator'!H24=0, "", '3. Calculator'!H24)</f>
        <v/>
      </c>
      <c r="G26" s="326" t="str">
        <f>IF('3. Calculator'!I24=0, "", '3. Calculator'!I24)</f>
        <v/>
      </c>
      <c r="H26" s="380" t="str">
        <f>IF('3. Calculator'!C24=0, "", '3. Calculator'!C24)</f>
        <v/>
      </c>
      <c r="I26" s="421" t="str">
        <f ca="1">IF(ghostSpreadsheet_CH4!H26="","",VLOOKUP(D26, INDIRECT(H26), 2, FALSE))</f>
        <v/>
      </c>
      <c r="J26" s="422" t="str">
        <f>IF(ISNA(VLOOKUP('3. Calculator'!E24, fuelInfo, 4, FALSE)),"", (E26*VLOOKUP('3. Calculator'!E24, fuelInfo, 4, FALSE)))</f>
        <v/>
      </c>
      <c r="K26" s="380" t="str">
        <f>IF(ISNA(VLOOKUP('3. Calculator'!I24,unitStates,3,FALSE)), "", (VLOOKUP('3. Calculator'!I24,unitStates,3,FALSE)))</f>
        <v/>
      </c>
      <c r="L26" s="345" t="str">
        <f>IF(C26="My fuels", "", IF(K26=0, VLOOKUP('3. Calculator'!I24, energyEFs,3,FALSE),""))</f>
        <v/>
      </c>
      <c r="M26" s="345" t="str">
        <f t="shared" si="14"/>
        <v/>
      </c>
      <c r="N26" s="382" t="str">
        <f t="shared" si="0"/>
        <v/>
      </c>
      <c r="O26" s="379" t="str">
        <f>IF(C26="My fuels", "", IF(K26=1, VLOOKUP('3. Calculator'!I24, solidEFs,3,FALSE),""))</f>
        <v/>
      </c>
      <c r="P26" s="380" t="str">
        <f t="shared" si="15"/>
        <v/>
      </c>
      <c r="Q26" s="379" t="str">
        <f>IF(K26=2,IF(ISNA(VLOOKUP('3. Calculator'!C24,industryEFTableKeys, 2,FALSE)), "", VLOOKUP('3. Calculator'!C24,industryEFTableKeys, 2,FALSE)),"")</f>
        <v/>
      </c>
      <c r="R26" s="326" t="str">
        <f t="shared" ca="1" si="1"/>
        <v/>
      </c>
      <c r="S26" s="326" t="str">
        <f xml:space="preserve"> IF(ISNA(VLOOKUP('3. Calculator'!I24,unitStates,4, FALSE)), "", (VLOOKUP('3. Calculator'!I24,unitStates,4, FALSE)))</f>
        <v/>
      </c>
      <c r="T26" s="326" t="str">
        <f t="shared" si="2"/>
        <v/>
      </c>
      <c r="U26" s="326" t="str">
        <f t="shared" ca="1" si="3"/>
        <v/>
      </c>
      <c r="V26" s="326" t="str">
        <f t="shared" ca="1" si="4"/>
        <v/>
      </c>
      <c r="W26" s="380" t="str">
        <f t="shared" ca="1" si="5"/>
        <v/>
      </c>
      <c r="X26" s="345" t="str">
        <f>IF(C26="My fuels", "", IF(K26=3, IF(ISNA(VLOOKUP('3. Calculator'!C24,industryEFTableKeys, 3,FALSE)), "", VLOOKUP('3. Calculator'!C24,industryEFTableKeys, 3,FALSE)), ""))</f>
        <v/>
      </c>
      <c r="Y26" s="326" t="str">
        <f t="shared" ca="1" si="6"/>
        <v/>
      </c>
      <c r="Z26" s="326" t="str">
        <f ca="1">+IF(Y26="", "", IF(ISNA(VLOOKUP('3. Calculator'!I24,unitStates,5, FALSE)), "", (VLOOKUP('3. Calculator'!I24,unitStates,5, FALSE))))</f>
        <v/>
      </c>
      <c r="AA26" s="326" t="str">
        <f t="shared" ca="1" si="7"/>
        <v/>
      </c>
      <c r="AB26" s="382" t="str">
        <f t="shared" ca="1" si="8"/>
        <v/>
      </c>
      <c r="AC26" s="379" t="str">
        <f t="shared" si="9"/>
        <v/>
      </c>
      <c r="AD26" s="326" t="str">
        <f t="shared" si="16"/>
        <v/>
      </c>
      <c r="AE26" s="326" t="str">
        <f t="shared" si="10"/>
        <v/>
      </c>
      <c r="AF26" s="326" t="str">
        <f t="shared" si="11"/>
        <v/>
      </c>
      <c r="AG26" s="380" t="str">
        <f t="shared" si="12"/>
        <v/>
      </c>
      <c r="AH26" s="345">
        <f t="shared" ca="1" si="13"/>
        <v>0</v>
      </c>
    </row>
    <row r="27" spans="2:34" x14ac:dyDescent="0.25">
      <c r="B27" s="12" t="str">
        <f>IF('3. Calculator'!B25=0, "", '3. Calculator'!B25)</f>
        <v/>
      </c>
      <c r="C27" s="379" t="str">
        <f>IF('3. Calculator'!D25=0, "", '3. Calculator'!D25)</f>
        <v/>
      </c>
      <c r="D27" s="326" t="str">
        <f>IF('3. Calculator'!E25=0, "", '3. Calculator'!E25)</f>
        <v/>
      </c>
      <c r="E27" s="326">
        <f>IF('3. Calculator'!L25="", 1, IF('3. Calculator'!L25="Not applicable", 1, IF('3. Calculator'!L25="Lower", 1, VLOOKUP('3. Calculator'!E25, HVConversionValues,2,FALSE))))</f>
        <v>1</v>
      </c>
      <c r="F27" s="326" t="str">
        <f>IF('3. Calculator'!H25=0, "", '3. Calculator'!H25)</f>
        <v/>
      </c>
      <c r="G27" s="326" t="str">
        <f>IF('3. Calculator'!I25=0, "", '3. Calculator'!I25)</f>
        <v/>
      </c>
      <c r="H27" s="380" t="str">
        <f>IF('3. Calculator'!C25=0, "", '3. Calculator'!C25)</f>
        <v/>
      </c>
      <c r="I27" s="421" t="str">
        <f ca="1">IF(ghostSpreadsheet_CH4!H27="","",VLOOKUP(D27, INDIRECT(H27), 2, FALSE))</f>
        <v/>
      </c>
      <c r="J27" s="422" t="str">
        <f>IF(ISNA(VLOOKUP('3. Calculator'!E25, fuelInfo, 4, FALSE)),"", (E27*VLOOKUP('3. Calculator'!E25, fuelInfo, 4, FALSE)))</f>
        <v/>
      </c>
      <c r="K27" s="380" t="str">
        <f>IF(ISNA(VLOOKUP('3. Calculator'!I25,unitStates,3,FALSE)), "", (VLOOKUP('3. Calculator'!I25,unitStates,3,FALSE)))</f>
        <v/>
      </c>
      <c r="L27" s="345" t="str">
        <f>IF(C27="My fuels", "", IF(K27=0, VLOOKUP('3. Calculator'!I25, energyEFs,3,FALSE),""))</f>
        <v/>
      </c>
      <c r="M27" s="345" t="str">
        <f t="shared" si="14"/>
        <v/>
      </c>
      <c r="N27" s="382" t="str">
        <f t="shared" si="0"/>
        <v/>
      </c>
      <c r="O27" s="379" t="str">
        <f>IF(C27="My fuels", "", IF(K27=1, VLOOKUP('3. Calculator'!I25, solidEFs,3,FALSE),""))</f>
        <v/>
      </c>
      <c r="P27" s="380" t="str">
        <f t="shared" si="15"/>
        <v/>
      </c>
      <c r="Q27" s="379" t="str">
        <f>IF(K27=2,IF(ISNA(VLOOKUP('3. Calculator'!C25,industryEFTableKeys, 2,FALSE)), "", VLOOKUP('3. Calculator'!C25,industryEFTableKeys, 2,FALSE)),"")</f>
        <v/>
      </c>
      <c r="R27" s="326" t="str">
        <f t="shared" ca="1" si="1"/>
        <v/>
      </c>
      <c r="S27" s="326" t="str">
        <f xml:space="preserve"> IF(ISNA(VLOOKUP('3. Calculator'!I25,unitStates,4, FALSE)), "", (VLOOKUP('3. Calculator'!I25,unitStates,4, FALSE)))</f>
        <v/>
      </c>
      <c r="T27" s="326" t="str">
        <f t="shared" si="2"/>
        <v/>
      </c>
      <c r="U27" s="326" t="str">
        <f t="shared" ca="1" si="3"/>
        <v/>
      </c>
      <c r="V27" s="326" t="str">
        <f t="shared" ca="1" si="4"/>
        <v/>
      </c>
      <c r="W27" s="380" t="str">
        <f t="shared" ca="1" si="5"/>
        <v/>
      </c>
      <c r="X27" s="345" t="str">
        <f>IF(C27="My fuels", "", IF(K27=3, IF(ISNA(VLOOKUP('3. Calculator'!C25,industryEFTableKeys, 3,FALSE)), "", VLOOKUP('3. Calculator'!C25,industryEFTableKeys, 3,FALSE)), ""))</f>
        <v/>
      </c>
      <c r="Y27" s="326" t="str">
        <f t="shared" ca="1" si="6"/>
        <v/>
      </c>
      <c r="Z27" s="326" t="str">
        <f ca="1">+IF(Y27="", "", IF(ISNA(VLOOKUP('3. Calculator'!I25,unitStates,5, FALSE)), "", (VLOOKUP('3. Calculator'!I25,unitStates,5, FALSE))))</f>
        <v/>
      </c>
      <c r="AA27" s="326" t="str">
        <f t="shared" ca="1" si="7"/>
        <v/>
      </c>
      <c r="AB27" s="382" t="str">
        <f t="shared" ca="1" si="8"/>
        <v/>
      </c>
      <c r="AC27" s="379" t="str">
        <f t="shared" si="9"/>
        <v/>
      </c>
      <c r="AD27" s="326" t="str">
        <f t="shared" si="16"/>
        <v/>
      </c>
      <c r="AE27" s="326" t="str">
        <f t="shared" si="10"/>
        <v/>
      </c>
      <c r="AF27" s="326" t="str">
        <f t="shared" si="11"/>
        <v/>
      </c>
      <c r="AG27" s="380" t="str">
        <f t="shared" si="12"/>
        <v/>
      </c>
      <c r="AH27" s="345">
        <f t="shared" ca="1" si="13"/>
        <v>0</v>
      </c>
    </row>
    <row r="28" spans="2:34" x14ac:dyDescent="0.25">
      <c r="B28" s="12" t="str">
        <f>IF('3. Calculator'!B29=0, "", '3. Calculator'!B29)</f>
        <v/>
      </c>
      <c r="C28" s="379" t="str">
        <f>IF('3. Calculator'!D29=0, "", '3. Calculator'!D29)</f>
        <v/>
      </c>
      <c r="D28" s="326" t="str">
        <f>IF('3. Calculator'!E29=0, "", '3. Calculator'!E29)</f>
        <v/>
      </c>
      <c r="E28" s="326">
        <f>IF('3. Calculator'!L29="", 1, IF('3. Calculator'!L29="Not applicable", 1, IF('3. Calculator'!L29="Lower", 1, VLOOKUP('3. Calculator'!E29, HVConversionValues,2,FALSE))))</f>
        <v>1</v>
      </c>
      <c r="F28" s="326" t="str">
        <f>IF('3. Calculator'!H29=0, "", '3. Calculator'!H29)</f>
        <v/>
      </c>
      <c r="G28" s="326" t="str">
        <f>IF('3. Calculator'!I29=0, "", '3. Calculator'!I29)</f>
        <v/>
      </c>
      <c r="H28" s="380" t="str">
        <f>IF('3. Calculator'!C29=0, "", '3. Calculator'!C29)</f>
        <v/>
      </c>
      <c r="I28" s="421" t="str">
        <f ca="1">IF(ghostSpreadsheet_CH4!H28="","",VLOOKUP(D28, INDIRECT(H28), 2, FALSE))</f>
        <v/>
      </c>
      <c r="J28" s="422" t="str">
        <f>IF(ISNA(VLOOKUP('3. Calculator'!E29, fuelInfo, 4, FALSE)),"", (E28*VLOOKUP('3. Calculator'!E29, fuelInfo, 4, FALSE)))</f>
        <v/>
      </c>
      <c r="K28" s="380" t="str">
        <f>IF(ISNA(VLOOKUP('3. Calculator'!I29,unitStates,3,FALSE)), "", (VLOOKUP('3. Calculator'!I29,unitStates,3,FALSE)))</f>
        <v/>
      </c>
      <c r="L28" s="345" t="str">
        <f>IF(C28="My fuels", "", IF(K28=0, VLOOKUP('3. Calculator'!I29, energyEFs,3,FALSE),""))</f>
        <v/>
      </c>
      <c r="M28" s="345" t="str">
        <f t="shared" si="14"/>
        <v/>
      </c>
      <c r="N28" s="382" t="str">
        <f t="shared" si="0"/>
        <v/>
      </c>
      <c r="O28" s="379" t="str">
        <f>IF(C28="My fuels", "", IF(K28=1, VLOOKUP('3. Calculator'!I29, solidEFs,3,FALSE),""))</f>
        <v/>
      </c>
      <c r="P28" s="380" t="str">
        <f t="shared" si="15"/>
        <v/>
      </c>
      <c r="Q28" s="379" t="str">
        <f>IF(K28=2,IF(ISNA(VLOOKUP('3. Calculator'!C29,industryEFTableKeys, 2,FALSE)), "", VLOOKUP('3. Calculator'!C29,industryEFTableKeys, 2,FALSE)),"")</f>
        <v/>
      </c>
      <c r="R28" s="326" t="str">
        <f t="shared" ca="1" si="1"/>
        <v/>
      </c>
      <c r="S28" s="326" t="str">
        <f xml:space="preserve"> IF(ISNA(VLOOKUP('3. Calculator'!I29,unitStates,4, FALSE)), "", (VLOOKUP('3. Calculator'!I29,unitStates,4, FALSE)))</f>
        <v/>
      </c>
      <c r="T28" s="326" t="str">
        <f t="shared" si="2"/>
        <v/>
      </c>
      <c r="U28" s="326" t="str">
        <f t="shared" ca="1" si="3"/>
        <v/>
      </c>
      <c r="V28" s="326" t="str">
        <f t="shared" ca="1" si="4"/>
        <v/>
      </c>
      <c r="W28" s="380" t="str">
        <f t="shared" ca="1" si="5"/>
        <v/>
      </c>
      <c r="X28" s="345" t="str">
        <f>IF(C28="My fuels", "", IF(K28=3, IF(ISNA(VLOOKUP('3. Calculator'!C29,industryEFTableKeys, 3,FALSE)), "", VLOOKUP('3. Calculator'!C29,industryEFTableKeys, 3,FALSE)), ""))</f>
        <v/>
      </c>
      <c r="Y28" s="326" t="str">
        <f t="shared" ca="1" si="6"/>
        <v/>
      </c>
      <c r="Z28" s="326" t="str">
        <f ca="1">+IF(Y28="", "", IF(ISNA(VLOOKUP('3. Calculator'!I29,unitStates,5, FALSE)), "", (VLOOKUP('3. Calculator'!I29,unitStates,5, FALSE))))</f>
        <v/>
      </c>
      <c r="AA28" s="326" t="str">
        <f t="shared" ca="1" si="7"/>
        <v/>
      </c>
      <c r="AB28" s="382" t="str">
        <f t="shared" ca="1" si="8"/>
        <v/>
      </c>
      <c r="AC28" s="379" t="str">
        <f t="shared" si="9"/>
        <v/>
      </c>
      <c r="AD28" s="326" t="str">
        <f t="shared" si="16"/>
        <v/>
      </c>
      <c r="AE28" s="326" t="str">
        <f t="shared" si="10"/>
        <v/>
      </c>
      <c r="AF28" s="326" t="str">
        <f t="shared" si="11"/>
        <v/>
      </c>
      <c r="AG28" s="380" t="str">
        <f t="shared" si="12"/>
        <v/>
      </c>
      <c r="AH28" s="345">
        <f t="shared" ca="1" si="13"/>
        <v>0</v>
      </c>
    </row>
    <row r="29" spans="2:34" x14ac:dyDescent="0.25">
      <c r="B29" s="12"/>
      <c r="C29" s="379" t="str">
        <f>IF('3. Calculator'!D30=0, "", '3. Calculator'!D30)</f>
        <v/>
      </c>
      <c r="D29" s="326" t="str">
        <f>IF('3. Calculator'!E30=0, "", '3. Calculator'!E30)</f>
        <v/>
      </c>
      <c r="E29" s="326">
        <f>IF('3. Calculator'!L30="", 1, IF('3. Calculator'!L30="Not applicable", 1, IF('3. Calculator'!L30="Lower", 1, VLOOKUP('3. Calculator'!E30, HVConversionValues,2,FALSE))))</f>
        <v>1</v>
      </c>
      <c r="F29" s="326" t="str">
        <f>IF('3. Calculator'!H30=0, "", '3. Calculator'!H30)</f>
        <v/>
      </c>
      <c r="G29" s="326" t="str">
        <f>IF('3. Calculator'!I30=0, "", '3. Calculator'!I30)</f>
        <v/>
      </c>
      <c r="H29" s="380" t="str">
        <f>IF('3. Calculator'!C30=0, "", '3. Calculator'!C30)</f>
        <v/>
      </c>
      <c r="I29" s="421" t="str">
        <f ca="1">IF(ghostSpreadsheet_CH4!H29="","",VLOOKUP(D29, INDIRECT(H29), 2, FALSE))</f>
        <v/>
      </c>
      <c r="J29" s="422" t="str">
        <f>IF(ISNA(VLOOKUP('3. Calculator'!E30, fuelInfo, 4, FALSE)),"", (E29*VLOOKUP('3. Calculator'!E30, fuelInfo, 4, FALSE)))</f>
        <v/>
      </c>
      <c r="K29" s="380" t="str">
        <f>IF(ISNA(VLOOKUP('3. Calculator'!I30,unitStates,3,FALSE)), "", (VLOOKUP('3. Calculator'!I30,unitStates,3,FALSE)))</f>
        <v/>
      </c>
      <c r="L29" s="345" t="str">
        <f>IF(C29="My fuels", "", IF(K29=0, VLOOKUP('3. Calculator'!I30, energyEFs,3,FALSE),""))</f>
        <v/>
      </c>
      <c r="M29" s="345" t="str">
        <f t="shared" ref="M29:M34" si="17">IF(L29="","", I29*(1/E29)*L29)</f>
        <v/>
      </c>
      <c r="N29" s="382" t="str">
        <f t="shared" ref="N29:N34" si="18">IF(L29="","", F29*I29*(1/E29)*L29)</f>
        <v/>
      </c>
      <c r="O29" s="379" t="str">
        <f>IF(C29="My fuels", "", IF(K29=1, VLOOKUP('3. Calculator'!I30, solidEFs,3,FALSE),""))</f>
        <v/>
      </c>
      <c r="P29" s="380" t="str">
        <f t="shared" ref="P29:P34" si="19">IF(O29="", "", F29*I29*(1/E29)*J29*O29)</f>
        <v/>
      </c>
      <c r="Q29" s="379" t="str">
        <f>IF(K29=2,IF(ISNA(VLOOKUP('3. Calculator'!C30,industryEFTableKeys, 2,FALSE)), "", VLOOKUP('3. Calculator'!C30,industryEFTableKeys, 2,FALSE)),"")</f>
        <v/>
      </c>
      <c r="R29" s="326" t="str">
        <f t="shared" ref="R29:R34" ca="1" si="20">IF(C29="My fuels", "", IF(K29=2, VLOOKUP(D29, INDIRECT(Q29),6,FALSE),""))</f>
        <v/>
      </c>
      <c r="S29" s="326" t="str">
        <f xml:space="preserve"> IF(ISNA(VLOOKUP('3. Calculator'!I30,unitStates,4, FALSE)), "", (VLOOKUP('3. Calculator'!I30,unitStates,4, FALSE)))</f>
        <v/>
      </c>
      <c r="T29" s="326" t="str">
        <f t="shared" ref="T29:T34" si="21">IF(K29=2, F29*R29,"")</f>
        <v/>
      </c>
      <c r="U29" s="326" t="str">
        <f t="shared" ref="U29:U34" ca="1" si="22">IF(R29="", "", IF(S29=2, 3.785,1))</f>
        <v/>
      </c>
      <c r="V29" s="326" t="str">
        <f t="shared" ref="V29:V34" ca="1" si="23">IF(R29="","",IF(S29=3, 158.99,1))</f>
        <v/>
      </c>
      <c r="W29" s="380" t="str">
        <f t="shared" ref="W29:W34" ca="1" si="24">+IF(R29="", "", T29*U29*V29)</f>
        <v/>
      </c>
      <c r="X29" s="345" t="str">
        <f>IF(C29="My fuels", "", IF(K29=3, IF(ISNA(VLOOKUP('3. Calculator'!C30,industryEFTableKeys, 3,FALSE)), "", VLOOKUP('3. Calculator'!C30,industryEFTableKeys, 3,FALSE)), ""))</f>
        <v/>
      </c>
      <c r="Y29" s="326" t="str">
        <f t="shared" ref="Y29:Y34" ca="1" si="25">IF(K29=3, VLOOKUP(D29, INDIRECT(X29),6,FALSE),"")</f>
        <v/>
      </c>
      <c r="Z29" s="326" t="str">
        <f ca="1">+IF(Y29="", "", IF(ISNA(VLOOKUP('3. Calculator'!I30,unitStates,5, FALSE)), "", (VLOOKUP('3. Calculator'!I30,unitStates,5, FALSE))))</f>
        <v/>
      </c>
      <c r="AA29" s="326" t="str">
        <f t="shared" ref="AA29:AA34" ca="1" si="26">IF(Y29="","", IF(Z29=1,1,0.02832))</f>
        <v/>
      </c>
      <c r="AB29" s="382" t="str">
        <f t="shared" ref="AB29:AB34" ca="1" si="27">IF(Y29="", "", F29*Y29*AA29)</f>
        <v/>
      </c>
      <c r="AC29" s="379" t="str">
        <f t="shared" ref="AC29:AC34" si="28">IF(C29="My fuels", VLOOKUP(D29, customTable, 12, FALSE), "")</f>
        <v/>
      </c>
      <c r="AD29" s="326" t="str">
        <f t="shared" ref="AD29:AD34" si="29">IF(C29="My fuels", VLOOKUP(D29, customTable,3, FALSE)&amp;" "&amp;VLOOKUP(D29, customTable,6, FALSE)&amp;"/"&amp;VLOOKUP(D29, customTable,7, FALSE),"")</f>
        <v/>
      </c>
      <c r="AE29" s="326" t="str">
        <f t="shared" ref="AE29:AE34" si="30">IF(AC29="", "", AC29*F29)</f>
        <v/>
      </c>
      <c r="AF29" s="326" t="str">
        <f t="shared" ref="AF29:AF34" si="31">+IF(ISERROR(VLOOKUP(G29,customConversionFactors, 4, FALSE)), "", VLOOKUP(G29,customConversionFactors, 4, FALSE))</f>
        <v/>
      </c>
      <c r="AG29" s="380" t="str">
        <f t="shared" ref="AG29:AG34" si="32">IF(ISERROR(IF(AC29="", "", AE29*AF29)), "", IF(AC29="", "", AE29*AF29))</f>
        <v/>
      </c>
      <c r="AH29" s="345">
        <f t="shared" ref="AH29:AH34" ca="1" si="33">IF(AG29="", IF(N29="",0,N29)+IF(P29="",0,P29)+IF(W29="",0,W29)+IF(AB29="",0,AB29), AG29)</f>
        <v>0</v>
      </c>
    </row>
    <row r="30" spans="2:34" x14ac:dyDescent="0.25">
      <c r="B30" s="12"/>
      <c r="C30" s="379" t="str">
        <f>IF('3. Calculator'!D31=0, "", '3. Calculator'!D31)</f>
        <v/>
      </c>
      <c r="D30" s="326" t="str">
        <f>IF('3. Calculator'!E31=0, "", '3. Calculator'!E31)</f>
        <v/>
      </c>
      <c r="E30" s="326">
        <f>IF('3. Calculator'!L31="", 1, IF('3. Calculator'!L31="Not applicable", 1, IF('3. Calculator'!L31="Lower", 1, VLOOKUP('3. Calculator'!E31, HVConversionValues,2,FALSE))))</f>
        <v>1</v>
      </c>
      <c r="F30" s="326" t="str">
        <f>IF('3. Calculator'!H31=0, "", '3. Calculator'!H31)</f>
        <v/>
      </c>
      <c r="G30" s="326" t="str">
        <f>IF('3. Calculator'!I31=0, "", '3. Calculator'!I31)</f>
        <v/>
      </c>
      <c r="H30" s="380" t="str">
        <f>IF('3. Calculator'!C31=0, "", '3. Calculator'!C31)</f>
        <v/>
      </c>
      <c r="I30" s="421" t="str">
        <f ca="1">IF(ghostSpreadsheet_CH4!H30="","",VLOOKUP(D30, INDIRECT(H30), 2, FALSE))</f>
        <v/>
      </c>
      <c r="J30" s="422" t="str">
        <f>IF(ISNA(VLOOKUP('3. Calculator'!E31, fuelInfo, 4, FALSE)),"", (E30*VLOOKUP('3. Calculator'!E31, fuelInfo, 4, FALSE)))</f>
        <v/>
      </c>
      <c r="K30" s="380" t="str">
        <f>IF(ISNA(VLOOKUP('3. Calculator'!I31,unitStates,3,FALSE)), "", (VLOOKUP('3. Calculator'!I31,unitStates,3,FALSE)))</f>
        <v/>
      </c>
      <c r="L30" s="345" t="str">
        <f>IF(C30="My fuels", "", IF(K30=0, VLOOKUP('3. Calculator'!I31, energyEFs,3,FALSE),""))</f>
        <v/>
      </c>
      <c r="M30" s="345" t="str">
        <f t="shared" si="17"/>
        <v/>
      </c>
      <c r="N30" s="382" t="str">
        <f t="shared" si="18"/>
        <v/>
      </c>
      <c r="O30" s="379" t="str">
        <f>IF(C30="My fuels", "", IF(K30=1, VLOOKUP('3. Calculator'!I31, solidEFs,3,FALSE),""))</f>
        <v/>
      </c>
      <c r="P30" s="380" t="str">
        <f t="shared" si="19"/>
        <v/>
      </c>
      <c r="Q30" s="379" t="str">
        <f>IF(K30=2,IF(ISNA(VLOOKUP('3. Calculator'!C31,industryEFTableKeys, 2,FALSE)), "", VLOOKUP('3. Calculator'!C31,industryEFTableKeys, 2,FALSE)),"")</f>
        <v/>
      </c>
      <c r="R30" s="326" t="str">
        <f t="shared" ca="1" si="20"/>
        <v/>
      </c>
      <c r="S30" s="326" t="str">
        <f xml:space="preserve"> IF(ISNA(VLOOKUP('3. Calculator'!I31,unitStates,4, FALSE)), "", (VLOOKUP('3. Calculator'!I31,unitStates,4, FALSE)))</f>
        <v/>
      </c>
      <c r="T30" s="326" t="str">
        <f t="shared" si="21"/>
        <v/>
      </c>
      <c r="U30" s="326" t="str">
        <f t="shared" ca="1" si="22"/>
        <v/>
      </c>
      <c r="V30" s="326" t="str">
        <f t="shared" ca="1" si="23"/>
        <v/>
      </c>
      <c r="W30" s="380" t="str">
        <f t="shared" ca="1" si="24"/>
        <v/>
      </c>
      <c r="X30" s="345" t="str">
        <f>IF(C30="My fuels", "", IF(K30=3, IF(ISNA(VLOOKUP('3. Calculator'!C31,industryEFTableKeys, 3,FALSE)), "", VLOOKUP('3. Calculator'!C31,industryEFTableKeys, 3,FALSE)), ""))</f>
        <v/>
      </c>
      <c r="Y30" s="326" t="str">
        <f t="shared" ca="1" si="25"/>
        <v/>
      </c>
      <c r="Z30" s="326" t="str">
        <f ca="1">+IF(Y30="", "", IF(ISNA(VLOOKUP('3. Calculator'!I31,unitStates,5, FALSE)), "", (VLOOKUP('3. Calculator'!I31,unitStates,5, FALSE))))</f>
        <v/>
      </c>
      <c r="AA30" s="326" t="str">
        <f t="shared" ca="1" si="26"/>
        <v/>
      </c>
      <c r="AB30" s="382" t="str">
        <f t="shared" ca="1" si="27"/>
        <v/>
      </c>
      <c r="AC30" s="379" t="str">
        <f t="shared" si="28"/>
        <v/>
      </c>
      <c r="AD30" s="326" t="str">
        <f t="shared" si="29"/>
        <v/>
      </c>
      <c r="AE30" s="326" t="str">
        <f t="shared" si="30"/>
        <v/>
      </c>
      <c r="AF30" s="326" t="str">
        <f t="shared" si="31"/>
        <v/>
      </c>
      <c r="AG30" s="380" t="str">
        <f t="shared" si="32"/>
        <v/>
      </c>
      <c r="AH30" s="345">
        <f t="shared" ca="1" si="33"/>
        <v>0</v>
      </c>
    </row>
    <row r="31" spans="2:34" x14ac:dyDescent="0.25">
      <c r="B31" s="12"/>
      <c r="C31" s="379" t="str">
        <f>IF('3. Calculator'!D32=0, "", '3. Calculator'!D32)</f>
        <v/>
      </c>
      <c r="D31" s="326" t="str">
        <f>IF('3. Calculator'!E32=0, "", '3. Calculator'!E32)</f>
        <v/>
      </c>
      <c r="E31" s="326">
        <f>IF('3. Calculator'!L32="", 1, IF('3. Calculator'!L32="Not applicable", 1, IF('3. Calculator'!L32="Lower", 1, VLOOKUP('3. Calculator'!E32, HVConversionValues,2,FALSE))))</f>
        <v>1</v>
      </c>
      <c r="F31" s="326" t="str">
        <f>IF('3. Calculator'!H32=0, "", '3. Calculator'!H32)</f>
        <v/>
      </c>
      <c r="G31" s="326" t="str">
        <f>IF('3. Calculator'!I32=0, "", '3. Calculator'!I32)</f>
        <v/>
      </c>
      <c r="H31" s="380" t="str">
        <f>IF('3. Calculator'!C32=0, "", '3. Calculator'!C32)</f>
        <v/>
      </c>
      <c r="I31" s="421" t="str">
        <f ca="1">IF(ghostSpreadsheet_CH4!H31="","",VLOOKUP(D31, INDIRECT(H31), 2, FALSE))</f>
        <v/>
      </c>
      <c r="J31" s="422" t="str">
        <f>IF(ISNA(VLOOKUP('3. Calculator'!E32, fuelInfo, 4, FALSE)),"", (E31*VLOOKUP('3. Calculator'!E32, fuelInfo, 4, FALSE)))</f>
        <v/>
      </c>
      <c r="K31" s="380" t="str">
        <f>IF(ISNA(VLOOKUP('3. Calculator'!I32,unitStates,3,FALSE)), "", (VLOOKUP('3. Calculator'!I32,unitStates,3,FALSE)))</f>
        <v/>
      </c>
      <c r="L31" s="345" t="str">
        <f>IF(C31="My fuels", "", IF(K31=0, VLOOKUP('3. Calculator'!I32, energyEFs,3,FALSE),""))</f>
        <v/>
      </c>
      <c r="M31" s="345" t="str">
        <f t="shared" si="17"/>
        <v/>
      </c>
      <c r="N31" s="382" t="str">
        <f t="shared" si="18"/>
        <v/>
      </c>
      <c r="O31" s="379" t="str">
        <f>IF(C31="My fuels", "", IF(K31=1, VLOOKUP('3. Calculator'!I32, solidEFs,3,FALSE),""))</f>
        <v/>
      </c>
      <c r="P31" s="380" t="str">
        <f t="shared" si="19"/>
        <v/>
      </c>
      <c r="Q31" s="379" t="str">
        <f>IF(K31=2,IF(ISNA(VLOOKUP('3. Calculator'!C32,industryEFTableKeys, 2,FALSE)), "", VLOOKUP('3. Calculator'!C32,industryEFTableKeys, 2,FALSE)),"")</f>
        <v/>
      </c>
      <c r="R31" s="326" t="str">
        <f t="shared" ca="1" si="20"/>
        <v/>
      </c>
      <c r="S31" s="326" t="str">
        <f xml:space="preserve"> IF(ISNA(VLOOKUP('3. Calculator'!I32,unitStates,4, FALSE)), "", (VLOOKUP('3. Calculator'!I32,unitStates,4, FALSE)))</f>
        <v/>
      </c>
      <c r="T31" s="326" t="str">
        <f t="shared" si="21"/>
        <v/>
      </c>
      <c r="U31" s="326" t="str">
        <f t="shared" ca="1" si="22"/>
        <v/>
      </c>
      <c r="V31" s="326" t="str">
        <f t="shared" ca="1" si="23"/>
        <v/>
      </c>
      <c r="W31" s="380" t="str">
        <f t="shared" ca="1" si="24"/>
        <v/>
      </c>
      <c r="X31" s="345" t="str">
        <f>IF(C31="My fuels", "", IF(K31=3, IF(ISNA(VLOOKUP('3. Calculator'!C32,industryEFTableKeys, 3,FALSE)), "", VLOOKUP('3. Calculator'!C32,industryEFTableKeys, 3,FALSE)), ""))</f>
        <v/>
      </c>
      <c r="Y31" s="326" t="str">
        <f t="shared" ca="1" si="25"/>
        <v/>
      </c>
      <c r="Z31" s="326" t="str">
        <f ca="1">+IF(Y31="", "", IF(ISNA(VLOOKUP('3. Calculator'!I32,unitStates,5, FALSE)), "", (VLOOKUP('3. Calculator'!I32,unitStates,5, FALSE))))</f>
        <v/>
      </c>
      <c r="AA31" s="326" t="str">
        <f t="shared" ca="1" si="26"/>
        <v/>
      </c>
      <c r="AB31" s="382" t="str">
        <f t="shared" ca="1" si="27"/>
        <v/>
      </c>
      <c r="AC31" s="379" t="str">
        <f t="shared" si="28"/>
        <v/>
      </c>
      <c r="AD31" s="326" t="str">
        <f t="shared" si="29"/>
        <v/>
      </c>
      <c r="AE31" s="326" t="str">
        <f t="shared" si="30"/>
        <v/>
      </c>
      <c r="AF31" s="326" t="str">
        <f t="shared" si="31"/>
        <v/>
      </c>
      <c r="AG31" s="380" t="str">
        <f t="shared" si="32"/>
        <v/>
      </c>
      <c r="AH31" s="345">
        <f t="shared" ca="1" si="33"/>
        <v>0</v>
      </c>
    </row>
    <row r="32" spans="2:34" x14ac:dyDescent="0.25">
      <c r="B32" s="12" t="str">
        <f>IF('3. Calculator'!B30=0, "", '3. Calculator'!B30)</f>
        <v/>
      </c>
      <c r="C32" s="379" t="str">
        <f>IF('3. Calculator'!D33=0, "", '3. Calculator'!D33)</f>
        <v/>
      </c>
      <c r="D32" s="326" t="str">
        <f>IF('3. Calculator'!E33=0, "", '3. Calculator'!E33)</f>
        <v/>
      </c>
      <c r="E32" s="326">
        <f>IF('3. Calculator'!L33="", 1, IF('3. Calculator'!L33="Not applicable", 1, IF('3. Calculator'!L33="Lower", 1, VLOOKUP('3. Calculator'!E33, HVConversionValues,2,FALSE))))</f>
        <v>1</v>
      </c>
      <c r="F32" s="326" t="str">
        <f>IF('3. Calculator'!H33=0, "", '3. Calculator'!H33)</f>
        <v/>
      </c>
      <c r="G32" s="326" t="str">
        <f>IF('3. Calculator'!I33=0, "", '3. Calculator'!I33)</f>
        <v/>
      </c>
      <c r="H32" s="380" t="str">
        <f>IF('3. Calculator'!C33=0, "", '3. Calculator'!C33)</f>
        <v/>
      </c>
      <c r="I32" s="421" t="str">
        <f ca="1">IF(ghostSpreadsheet_CH4!H32="","",VLOOKUP(D32, INDIRECT(H32), 2, FALSE))</f>
        <v/>
      </c>
      <c r="J32" s="422" t="str">
        <f>IF(ISNA(VLOOKUP('3. Calculator'!E33, fuelInfo, 4, FALSE)),"", (E32*VLOOKUP('3. Calculator'!E33, fuelInfo, 4, FALSE)))</f>
        <v/>
      </c>
      <c r="K32" s="380" t="str">
        <f>IF(ISNA(VLOOKUP('3. Calculator'!I33,unitStates,3,FALSE)), "", (VLOOKUP('3. Calculator'!I33,unitStates,3,FALSE)))</f>
        <v/>
      </c>
      <c r="L32" s="345" t="str">
        <f>IF(C32="My fuels", "", IF(K32=0, VLOOKUP('3. Calculator'!I33, energyEFs,3,FALSE),""))</f>
        <v/>
      </c>
      <c r="M32" s="345" t="str">
        <f t="shared" si="17"/>
        <v/>
      </c>
      <c r="N32" s="382" t="str">
        <f t="shared" si="18"/>
        <v/>
      </c>
      <c r="O32" s="379" t="str">
        <f>IF(C32="My fuels", "", IF(K32=1, VLOOKUP('3. Calculator'!I33, solidEFs,3,FALSE),""))</f>
        <v/>
      </c>
      <c r="P32" s="380" t="str">
        <f t="shared" si="19"/>
        <v/>
      </c>
      <c r="Q32" s="379" t="str">
        <f>IF(K32=2,IF(ISNA(VLOOKUP('3. Calculator'!C33,industryEFTableKeys, 2,FALSE)), "", VLOOKUP('3. Calculator'!C33,industryEFTableKeys, 2,FALSE)),"")</f>
        <v/>
      </c>
      <c r="R32" s="326" t="str">
        <f t="shared" ca="1" si="20"/>
        <v/>
      </c>
      <c r="S32" s="326" t="str">
        <f xml:space="preserve"> IF(ISNA(VLOOKUP('3. Calculator'!I33,unitStates,4, FALSE)), "", (VLOOKUP('3. Calculator'!I33,unitStates,4, FALSE)))</f>
        <v/>
      </c>
      <c r="T32" s="326" t="str">
        <f t="shared" si="21"/>
        <v/>
      </c>
      <c r="U32" s="326" t="str">
        <f t="shared" ca="1" si="22"/>
        <v/>
      </c>
      <c r="V32" s="326" t="str">
        <f t="shared" ca="1" si="23"/>
        <v/>
      </c>
      <c r="W32" s="380" t="str">
        <f t="shared" ca="1" si="24"/>
        <v/>
      </c>
      <c r="X32" s="345" t="str">
        <f>IF(C32="My fuels", "", IF(K32=3, IF(ISNA(VLOOKUP('3. Calculator'!C33,industryEFTableKeys, 3,FALSE)), "", VLOOKUP('3. Calculator'!C33,industryEFTableKeys, 3,FALSE)), ""))</f>
        <v/>
      </c>
      <c r="Y32" s="326" t="str">
        <f t="shared" ca="1" si="25"/>
        <v/>
      </c>
      <c r="Z32" s="326" t="str">
        <f ca="1">+IF(Y32="", "", IF(ISNA(VLOOKUP('3. Calculator'!I33,unitStates,5, FALSE)), "", (VLOOKUP('3. Calculator'!I33,unitStates,5, FALSE))))</f>
        <v/>
      </c>
      <c r="AA32" s="326" t="str">
        <f t="shared" ca="1" si="26"/>
        <v/>
      </c>
      <c r="AB32" s="382" t="str">
        <f t="shared" ca="1" si="27"/>
        <v/>
      </c>
      <c r="AC32" s="379" t="str">
        <f t="shared" si="28"/>
        <v/>
      </c>
      <c r="AD32" s="326" t="str">
        <f t="shared" si="29"/>
        <v/>
      </c>
      <c r="AE32" s="326" t="str">
        <f t="shared" si="30"/>
        <v/>
      </c>
      <c r="AF32" s="326" t="str">
        <f t="shared" si="31"/>
        <v/>
      </c>
      <c r="AG32" s="380" t="str">
        <f t="shared" si="32"/>
        <v/>
      </c>
      <c r="AH32" s="345">
        <f t="shared" ca="1" si="33"/>
        <v>0</v>
      </c>
    </row>
    <row r="33" spans="2:35" x14ac:dyDescent="0.25">
      <c r="B33" s="12" t="str">
        <f>IF('3. Calculator'!B31=0, "", '3. Calculator'!B31)</f>
        <v/>
      </c>
      <c r="C33" s="379" t="str">
        <f>IF('3. Calculator'!D34=0, "", '3. Calculator'!D34)</f>
        <v/>
      </c>
      <c r="D33" s="326" t="str">
        <f>IF('3. Calculator'!E34=0, "", '3. Calculator'!E34)</f>
        <v/>
      </c>
      <c r="E33" s="326">
        <f>IF('3. Calculator'!L34="", 1, IF('3. Calculator'!L34="Not applicable", 1, IF('3. Calculator'!L34="Lower", 1, VLOOKUP('3. Calculator'!E34, HVConversionValues,2,FALSE))))</f>
        <v>1</v>
      </c>
      <c r="F33" s="326" t="str">
        <f>IF('3. Calculator'!H34=0, "", '3. Calculator'!H34)</f>
        <v/>
      </c>
      <c r="G33" s="326" t="str">
        <f>IF('3. Calculator'!I34=0, "", '3. Calculator'!I34)</f>
        <v/>
      </c>
      <c r="H33" s="380" t="str">
        <f>IF('3. Calculator'!C34=0, "", '3. Calculator'!C34)</f>
        <v/>
      </c>
      <c r="I33" s="421" t="str">
        <f ca="1">IF(ghostSpreadsheet_CH4!H33="","",VLOOKUP(D33, INDIRECT(H33), 2, FALSE))</f>
        <v/>
      </c>
      <c r="J33" s="422" t="str">
        <f>IF(ISNA(VLOOKUP('3. Calculator'!E34, fuelInfo, 4, FALSE)),"", (E33*VLOOKUP('3. Calculator'!E34, fuelInfo, 4, FALSE)))</f>
        <v/>
      </c>
      <c r="K33" s="380" t="str">
        <f>IF(ISNA(VLOOKUP('3. Calculator'!I34,unitStates,3,FALSE)), "", (VLOOKUP('3. Calculator'!I34,unitStates,3,FALSE)))</f>
        <v/>
      </c>
      <c r="L33" s="345" t="str">
        <f>IF(C33="My fuels", "", IF(K33=0, VLOOKUP('3. Calculator'!I34, energyEFs,3,FALSE),""))</f>
        <v/>
      </c>
      <c r="M33" s="345" t="str">
        <f t="shared" si="17"/>
        <v/>
      </c>
      <c r="N33" s="382" t="str">
        <f t="shared" si="18"/>
        <v/>
      </c>
      <c r="O33" s="379" t="str">
        <f>IF(C33="My fuels", "", IF(K33=1, VLOOKUP('3. Calculator'!I34, solidEFs,3,FALSE),""))</f>
        <v/>
      </c>
      <c r="P33" s="380" t="str">
        <f t="shared" si="19"/>
        <v/>
      </c>
      <c r="Q33" s="379" t="str">
        <f>IF(K33=2,IF(ISNA(VLOOKUP('3. Calculator'!C34,industryEFTableKeys, 2,FALSE)), "", VLOOKUP('3. Calculator'!C34,industryEFTableKeys, 2,FALSE)),"")</f>
        <v/>
      </c>
      <c r="R33" s="326" t="str">
        <f t="shared" ca="1" si="20"/>
        <v/>
      </c>
      <c r="S33" s="326" t="str">
        <f xml:space="preserve"> IF(ISNA(VLOOKUP('3. Calculator'!I34,unitStates,4, FALSE)), "", (VLOOKUP('3. Calculator'!I34,unitStates,4, FALSE)))</f>
        <v/>
      </c>
      <c r="T33" s="326" t="str">
        <f t="shared" si="21"/>
        <v/>
      </c>
      <c r="U33" s="326" t="str">
        <f t="shared" ca="1" si="22"/>
        <v/>
      </c>
      <c r="V33" s="326" t="str">
        <f t="shared" ca="1" si="23"/>
        <v/>
      </c>
      <c r="W33" s="380" t="str">
        <f t="shared" ca="1" si="24"/>
        <v/>
      </c>
      <c r="X33" s="345" t="str">
        <f>IF(C33="My fuels", "", IF(K33=3, IF(ISNA(VLOOKUP('3. Calculator'!C34,industryEFTableKeys, 3,FALSE)), "", VLOOKUP('3. Calculator'!C34,industryEFTableKeys, 3,FALSE)), ""))</f>
        <v/>
      </c>
      <c r="Y33" s="326" t="str">
        <f t="shared" ca="1" si="25"/>
        <v/>
      </c>
      <c r="Z33" s="326" t="str">
        <f ca="1">+IF(Y33="", "", IF(ISNA(VLOOKUP('3. Calculator'!I34,unitStates,5, FALSE)), "", (VLOOKUP('3. Calculator'!I34,unitStates,5, FALSE))))</f>
        <v/>
      </c>
      <c r="AA33" s="326" t="str">
        <f t="shared" ca="1" si="26"/>
        <v/>
      </c>
      <c r="AB33" s="382" t="str">
        <f t="shared" ca="1" si="27"/>
        <v/>
      </c>
      <c r="AC33" s="379" t="str">
        <f t="shared" si="28"/>
        <v/>
      </c>
      <c r="AD33" s="326" t="str">
        <f t="shared" si="29"/>
        <v/>
      </c>
      <c r="AE33" s="326" t="str">
        <f t="shared" si="30"/>
        <v/>
      </c>
      <c r="AF33" s="326" t="str">
        <f t="shared" si="31"/>
        <v/>
      </c>
      <c r="AG33" s="380" t="str">
        <f t="shared" si="32"/>
        <v/>
      </c>
      <c r="AH33" s="345">
        <f t="shared" ca="1" si="33"/>
        <v>0</v>
      </c>
    </row>
    <row r="34" spans="2:35" x14ac:dyDescent="0.25">
      <c r="B34" s="12" t="str">
        <f>IF('3. Calculator'!B32=0, "", '3. Calculator'!B32)</f>
        <v/>
      </c>
      <c r="C34" s="379" t="str">
        <f>IF('3. Calculator'!D35=0, "", '3. Calculator'!D35)</f>
        <v/>
      </c>
      <c r="D34" s="326" t="str">
        <f>IF('3. Calculator'!E35=0, "", '3. Calculator'!E35)</f>
        <v/>
      </c>
      <c r="E34" s="326">
        <f>IF('3. Calculator'!L35="", 1, IF('3. Calculator'!L35="Not applicable", 1, IF('3. Calculator'!L35="Lower", 1, VLOOKUP('3. Calculator'!E35, HVConversionValues,2,FALSE))))</f>
        <v>1</v>
      </c>
      <c r="F34" s="326" t="str">
        <f>IF('3. Calculator'!H35=0, "", '3. Calculator'!H35)</f>
        <v/>
      </c>
      <c r="G34" s="326" t="str">
        <f>IF('3. Calculator'!I35=0, "", '3. Calculator'!I35)</f>
        <v/>
      </c>
      <c r="H34" s="380" t="str">
        <f>IF('3. Calculator'!C35=0, "", '3. Calculator'!C35)</f>
        <v/>
      </c>
      <c r="I34" s="421" t="str">
        <f ca="1">IF(ghostSpreadsheet_CH4!H34="","",VLOOKUP(D34, INDIRECT(H34), 2, FALSE))</f>
        <v/>
      </c>
      <c r="J34" s="422" t="str">
        <f>IF(ISNA(VLOOKUP('3. Calculator'!E35, fuelInfo, 4, FALSE)),"", (E34*VLOOKUP('3. Calculator'!E35, fuelInfo, 4, FALSE)))</f>
        <v/>
      </c>
      <c r="K34" s="380" t="str">
        <f>IF(ISNA(VLOOKUP('3. Calculator'!I35,unitStates,3,FALSE)), "", (VLOOKUP('3. Calculator'!I35,unitStates,3,FALSE)))</f>
        <v/>
      </c>
      <c r="L34" s="345" t="str">
        <f>IF(C34="My fuels", "", IF(K34=0, VLOOKUP('3. Calculator'!I35, energyEFs,3,FALSE),""))</f>
        <v/>
      </c>
      <c r="M34" s="345" t="str">
        <f t="shared" si="17"/>
        <v/>
      </c>
      <c r="N34" s="382" t="str">
        <f t="shared" si="18"/>
        <v/>
      </c>
      <c r="O34" s="379" t="str">
        <f>IF(C34="My fuels", "", IF(K34=1, VLOOKUP('3. Calculator'!I35, solidEFs,3,FALSE),""))</f>
        <v/>
      </c>
      <c r="P34" s="380" t="str">
        <f t="shared" si="19"/>
        <v/>
      </c>
      <c r="Q34" s="379" t="str">
        <f>IF(K34=2,IF(ISNA(VLOOKUP('3. Calculator'!C35,industryEFTableKeys, 2,FALSE)), "", VLOOKUP('3. Calculator'!C35,industryEFTableKeys, 2,FALSE)),"")</f>
        <v/>
      </c>
      <c r="R34" s="326" t="str">
        <f t="shared" ca="1" si="20"/>
        <v/>
      </c>
      <c r="S34" s="326" t="str">
        <f xml:space="preserve"> IF(ISNA(VLOOKUP('3. Calculator'!I35,unitStates,4, FALSE)), "", (VLOOKUP('3. Calculator'!I35,unitStates,4, FALSE)))</f>
        <v/>
      </c>
      <c r="T34" s="326" t="str">
        <f t="shared" si="21"/>
        <v/>
      </c>
      <c r="U34" s="326" t="str">
        <f t="shared" ca="1" si="22"/>
        <v/>
      </c>
      <c r="V34" s="326" t="str">
        <f t="shared" ca="1" si="23"/>
        <v/>
      </c>
      <c r="W34" s="380" t="str">
        <f t="shared" ca="1" si="24"/>
        <v/>
      </c>
      <c r="X34" s="345" t="str">
        <f>IF(C34="My fuels", "", IF(K34=3, IF(ISNA(VLOOKUP('3. Calculator'!C35,industryEFTableKeys, 3,FALSE)), "", VLOOKUP('3. Calculator'!C35,industryEFTableKeys, 3,FALSE)), ""))</f>
        <v/>
      </c>
      <c r="Y34" s="326" t="str">
        <f t="shared" ca="1" si="25"/>
        <v/>
      </c>
      <c r="Z34" s="326" t="str">
        <f ca="1">+IF(Y34="", "", IF(ISNA(VLOOKUP('3. Calculator'!I35,unitStates,5, FALSE)), "", (VLOOKUP('3. Calculator'!I35,unitStates,5, FALSE))))</f>
        <v/>
      </c>
      <c r="AA34" s="326" t="str">
        <f t="shared" ca="1" si="26"/>
        <v/>
      </c>
      <c r="AB34" s="382" t="str">
        <f t="shared" ca="1" si="27"/>
        <v/>
      </c>
      <c r="AC34" s="379" t="str">
        <f t="shared" si="28"/>
        <v/>
      </c>
      <c r="AD34" s="326" t="str">
        <f t="shared" si="29"/>
        <v/>
      </c>
      <c r="AE34" s="326" t="str">
        <f t="shared" si="30"/>
        <v/>
      </c>
      <c r="AF34" s="326" t="str">
        <f t="shared" si="31"/>
        <v/>
      </c>
      <c r="AG34" s="380" t="str">
        <f t="shared" si="32"/>
        <v/>
      </c>
      <c r="AH34" s="345">
        <f t="shared" ca="1" si="33"/>
        <v>0</v>
      </c>
    </row>
    <row r="35" spans="2:35" ht="13.8" thickBot="1" x14ac:dyDescent="0.3">
      <c r="B35" s="4"/>
      <c r="C35" s="53" t="s">
        <v>240</v>
      </c>
      <c r="D35" s="53"/>
      <c r="E35" s="53"/>
      <c r="F35" s="53"/>
      <c r="G35" s="53"/>
      <c r="H35" s="53"/>
      <c r="I35" s="53"/>
      <c r="J35" s="53"/>
      <c r="K35" s="56"/>
      <c r="L35" s="53"/>
      <c r="M35" s="345" t="str">
        <f t="shared" si="14"/>
        <v/>
      </c>
      <c r="N35" s="48">
        <f>SUM(N10:N34)</f>
        <v>0</v>
      </c>
      <c r="O35" s="54"/>
      <c r="P35" s="48">
        <f>SUM(P10:P34)</f>
        <v>0</v>
      </c>
      <c r="Q35" s="54"/>
      <c r="R35" s="5"/>
      <c r="S35" s="5"/>
      <c r="T35" s="5"/>
      <c r="U35" s="5"/>
      <c r="V35" s="5"/>
      <c r="W35" s="48">
        <f ca="1">SUM(W10:W34)</f>
        <v>0</v>
      </c>
      <c r="X35" s="5"/>
      <c r="Y35" s="5"/>
      <c r="Z35" s="5"/>
      <c r="AA35" s="5"/>
      <c r="AB35" s="48">
        <f ca="1">SUM(AB10:AB34)</f>
        <v>0</v>
      </c>
      <c r="AC35" s="4"/>
      <c r="AD35" s="5" t="str">
        <f t="shared" si="16"/>
        <v/>
      </c>
      <c r="AE35" s="5"/>
      <c r="AF35" s="5"/>
      <c r="AG35" s="48">
        <f>SUM(AG10:AG34)</f>
        <v>0</v>
      </c>
      <c r="AH35" s="55">
        <f ca="1">SUM(AH10:AH34)</f>
        <v>0</v>
      </c>
      <c r="AI35" s="52"/>
    </row>
    <row r="36" spans="2:35" ht="13.8" thickBot="1" x14ac:dyDescent="0.3">
      <c r="B36" s="15"/>
      <c r="C36" s="385" t="s">
        <v>718</v>
      </c>
      <c r="D36" s="20"/>
      <c r="E36" s="20"/>
      <c r="F36" s="20"/>
      <c r="G36" s="16">
        <f ca="1">N35+P35+W35+AB35+AG35</f>
        <v>0</v>
      </c>
      <c r="H36" s="20"/>
      <c r="I36" s="20"/>
      <c r="J36" s="20"/>
      <c r="K36" s="14"/>
      <c r="M36" s="345" t="str">
        <f t="shared" si="14"/>
        <v/>
      </c>
    </row>
    <row r="37" spans="2:35" ht="13.8" thickBot="1" x14ac:dyDescent="0.3">
      <c r="B37" s="4"/>
      <c r="C37" s="385" t="s">
        <v>719</v>
      </c>
      <c r="D37" s="5"/>
      <c r="E37" s="5"/>
      <c r="F37" s="5"/>
      <c r="G37" s="92">
        <f ca="1">G36*VLOOKUP('2. Settings'!$C$7,GWPTable,3,FALSE)</f>
        <v>0</v>
      </c>
      <c r="H37" s="5"/>
      <c r="I37" s="5"/>
      <c r="J37" s="5"/>
      <c r="K37" s="6"/>
      <c r="M37" s="345" t="str">
        <f t="shared" si="14"/>
        <v/>
      </c>
    </row>
  </sheetData>
  <mergeCells count="10">
    <mergeCell ref="AH8:AH9"/>
    <mergeCell ref="B2:P2"/>
    <mergeCell ref="AC8:AG8"/>
    <mergeCell ref="X8:AB8"/>
    <mergeCell ref="I8:K8"/>
    <mergeCell ref="B3:P3"/>
    <mergeCell ref="B8:H8"/>
    <mergeCell ref="Q8:W8"/>
    <mergeCell ref="L8:N8"/>
    <mergeCell ref="O8:P8"/>
  </mergeCells>
  <phoneticPr fontId="3" type="noConversion"/>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48ca1b9-5519-4cb4-997c-a597c52bd683" xsi:nil="true"/>
    <_ip_UnifiedCompliancePolicyUIAction xmlns="http://schemas.microsoft.com/sharepoint/v3" xsi:nil="true"/>
    <lcf76f155ced4ddcb4097134ff3c332f xmlns="a46c2b86-f469-43b8-b637-0debd7041df9">
      <Terms xmlns="http://schemas.microsoft.com/office/infopath/2007/PartnerControls"/>
    </lcf76f155ced4ddcb4097134ff3c332f>
    <Comments xmlns="a46c2b86-f469-43b8-b637-0debd7041df9" xsi:nil="true"/>
    <Status xmlns="a46c2b86-f469-43b8-b637-0debd7041df9" xsi:nil="true"/>
    <_ip_UnifiedCompliancePolicyProperties xmlns="http://schemas.microsoft.com/sharepoint/v3" xsi:nil="true"/>
    <CandidateRanking xmlns="a46c2b86-f469-43b8-b637-0debd7041df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17B4CAD6B604840AC13A7CFA4929F39" ma:contentTypeVersion="23" ma:contentTypeDescription="Create a new document." ma:contentTypeScope="" ma:versionID="a282a1bd0f88d750180afe007a5431a0">
  <xsd:schema xmlns:xsd="http://www.w3.org/2001/XMLSchema" xmlns:xs="http://www.w3.org/2001/XMLSchema" xmlns:p="http://schemas.microsoft.com/office/2006/metadata/properties" xmlns:ns1="http://schemas.microsoft.com/sharepoint/v3" xmlns:ns2="a46c2b86-f469-43b8-b637-0debd7041df9" xmlns:ns3="b48ca1b9-5519-4cb4-997c-a597c52bd683" targetNamespace="http://schemas.microsoft.com/office/2006/metadata/properties" ma:root="true" ma:fieldsID="c52d08aab83d34a77790adaa7bfb39af" ns1:_="" ns2:_="" ns3:_="">
    <xsd:import namespace="http://schemas.microsoft.com/sharepoint/v3"/>
    <xsd:import namespace="a46c2b86-f469-43b8-b637-0debd7041df9"/>
    <xsd:import namespace="b48ca1b9-5519-4cb4-997c-a597c52bd68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Comments" minOccurs="0"/>
                <xsd:element ref="ns2:CandidateRanking" minOccurs="0"/>
                <xsd:element ref="ns1:_ip_UnifiedCompliancePolicyProperties" minOccurs="0"/>
                <xsd:element ref="ns1:_ip_UnifiedCompliancePolicyUIAction" minOccurs="0"/>
                <xsd:element ref="ns2:MediaServiceObjectDetectorVersions" minOccurs="0"/>
                <xsd:element ref="ns2:MediaServiceLocation" minOccurs="0"/>
                <xsd:element ref="ns2:MediaServiceSearchProperties"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6c2b86-f469-43b8-b637-0debd7041d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db06df0-9a10-4f13-b01c-4547ef3a4f3d" ma:termSetId="09814cd3-568e-fe90-9814-8d621ff8fb84" ma:anchorId="fba54fb3-c3e1-fe81-a776-ca4b69148c4d" ma:open="true" ma:isKeyword="false">
      <xsd:complexType>
        <xsd:sequence>
          <xsd:element ref="pc:Terms" minOccurs="0" maxOccurs="1"/>
        </xsd:sequence>
      </xsd:complexType>
    </xsd:element>
    <xsd:element name="Comments" ma:index="23" nillable="true" ma:displayName="Comments" ma:format="Dropdown" ma:internalName="Comments">
      <xsd:simpleType>
        <xsd:restriction base="dms:Text">
          <xsd:maxLength value="255"/>
        </xsd:restriction>
      </xsd:simpleType>
    </xsd:element>
    <xsd:element name="CandidateRanking" ma:index="24" nillable="true" ma:displayName="Candidate Ranking" ma:decimals="0" ma:format="Dropdown" ma:internalName="CandidateRanking" ma:percentage="FALSE">
      <xsd:simpleType>
        <xsd:restriction base="dms:Number"/>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Location" ma:index="28" nillable="true" ma:displayName="Location" ma:indexed="true" ma:internalName="MediaServiceLocation"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Status" ma:index="30" nillable="true" ma:displayName="Status" ma:format="Dropdown" ma:internalName="Statu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48ca1b9-5519-4cb4-997c-a597c52bd68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1c331e7-1afd-4a1a-964c-8f9e9be1bb8b}" ma:internalName="TaxCatchAll" ma:showField="CatchAllData" ma:web="b48ca1b9-5519-4cb4-997c-a597c52bd6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5FDC6E-D678-4BBA-84AD-97DD8363C69A}">
  <ds:schemaRefs>
    <ds:schemaRef ds:uri="http://purl.org/dc/dcmitype/"/>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schemas.microsoft.com/office/infopath/2007/PartnerControls"/>
    <ds:schemaRef ds:uri="b48ca1b9-5519-4cb4-997c-a597c52bd683"/>
    <ds:schemaRef ds:uri="http://purl.org/dc/elements/1.1/"/>
    <ds:schemaRef ds:uri="a46c2b86-f469-43b8-b637-0debd7041df9"/>
    <ds:schemaRef ds:uri="http://schemas.microsoft.com/sharepoint/v3"/>
    <ds:schemaRef ds:uri="http://www.w3.org/XML/1998/namespace"/>
  </ds:schemaRefs>
</ds:datastoreItem>
</file>

<file path=customXml/itemProps2.xml><?xml version="1.0" encoding="utf-8"?>
<ds:datastoreItem xmlns:ds="http://schemas.openxmlformats.org/officeDocument/2006/customXml" ds:itemID="{F0504B58-53B8-4C41-96ED-B92A7F486A57}">
  <ds:schemaRefs>
    <ds:schemaRef ds:uri="http://schemas.microsoft.com/sharepoint/v3/contenttype/forms"/>
  </ds:schemaRefs>
</ds:datastoreItem>
</file>

<file path=customXml/itemProps3.xml><?xml version="1.0" encoding="utf-8"?>
<ds:datastoreItem xmlns:ds="http://schemas.openxmlformats.org/officeDocument/2006/customXml" ds:itemID="{B7A77499-783E-4636-8F7F-E88A8A182B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46c2b86-f469-43b8-b637-0debd7041df9"/>
    <ds:schemaRef ds:uri="b48ca1b9-5519-4cb4-997c-a597c52bd6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178</vt:i4>
      </vt:variant>
    </vt:vector>
  </HeadingPairs>
  <TitlesOfParts>
    <vt:vector size="192" baseType="lpstr">
      <vt:lpstr>Welcome!</vt:lpstr>
      <vt:lpstr>1. Introduction</vt:lpstr>
      <vt:lpstr>2. Settings</vt:lpstr>
      <vt:lpstr>3. Calculator</vt:lpstr>
      <vt:lpstr>CO2 EFs</vt:lpstr>
      <vt:lpstr>Tier 1 CH4  EFs</vt:lpstr>
      <vt:lpstr>Tier 1 N2O  EFs</vt:lpstr>
      <vt:lpstr>ghostSpreadsheet_CO2</vt:lpstr>
      <vt:lpstr>ghostSpreadsheet_CH4</vt:lpstr>
      <vt:lpstr>ghostSpreadsheet_N2O</vt:lpstr>
      <vt:lpstr>General_listings</vt:lpstr>
      <vt:lpstr>Revision history</vt:lpstr>
      <vt:lpstr>Ti 2er3-remove</vt:lpstr>
      <vt:lpstr>Tier3EDFs-remove</vt:lpstr>
      <vt:lpstr>actualFuelNames</vt:lpstr>
      <vt:lpstr>Agriculture</vt:lpstr>
      <vt:lpstr>agricultureGasEFs</vt:lpstr>
      <vt:lpstr>agricultureGasEFsN2O</vt:lpstr>
      <vt:lpstr>agricultureLiquidEFs</vt:lpstr>
      <vt:lpstr>agricultureLiquidEFsN2O</vt:lpstr>
      <vt:lpstr>AgricultureN2O</vt:lpstr>
      <vt:lpstr>allFuels</vt:lpstr>
      <vt:lpstr>Biomass</vt:lpstr>
      <vt:lpstr>'Revision history'!Coal_products</vt:lpstr>
      <vt:lpstr>Coal_products</vt:lpstr>
      <vt:lpstr>Commercial</vt:lpstr>
      <vt:lpstr>commercialGasEFs</vt:lpstr>
      <vt:lpstr>commercialGasEFsN2O</vt:lpstr>
      <vt:lpstr>commercialLiquidEFs</vt:lpstr>
      <vt:lpstr>commercialLiquidEFsN2O</vt:lpstr>
      <vt:lpstr>CommercialN2O</vt:lpstr>
      <vt:lpstr>Construction</vt:lpstr>
      <vt:lpstr>constructionGasEFs</vt:lpstr>
      <vt:lpstr>constructionGasEFsN2O</vt:lpstr>
      <vt:lpstr>constructionLiquidEFs</vt:lpstr>
      <vt:lpstr>constructionLiquidEFsN2O</vt:lpstr>
      <vt:lpstr>ConstructionN2O</vt:lpstr>
      <vt:lpstr>customConversionFactors</vt:lpstr>
      <vt:lpstr>'Revision history'!customFuelTypes</vt:lpstr>
      <vt:lpstr>customFuelTypes</vt:lpstr>
      <vt:lpstr>customTable</vt:lpstr>
      <vt:lpstr>customUnitMap</vt:lpstr>
      <vt:lpstr>'Revision history'!denominatorConversionTable</vt:lpstr>
      <vt:lpstr>denominatorConversionTable</vt:lpstr>
      <vt:lpstr>denominators</vt:lpstr>
      <vt:lpstr>Density_Config</vt:lpstr>
      <vt:lpstr>DensityGas</vt:lpstr>
      <vt:lpstr>DensityLiquid</vt:lpstr>
      <vt:lpstr>eight</vt:lpstr>
      <vt:lpstr>eighteen</vt:lpstr>
      <vt:lpstr>eleven</vt:lpstr>
      <vt:lpstr>Energy</vt:lpstr>
      <vt:lpstr>energyEFs</vt:lpstr>
      <vt:lpstr>energyGasEFs</vt:lpstr>
      <vt:lpstr>energyGasEFsN2O</vt:lpstr>
      <vt:lpstr>energyLiquidEFs</vt:lpstr>
      <vt:lpstr>energyLiquidEFsN2O</vt:lpstr>
      <vt:lpstr>EnergyN2O</vt:lpstr>
      <vt:lpstr>'Revision history'!errorMessageTable</vt:lpstr>
      <vt:lpstr>errorMessageTable</vt:lpstr>
      <vt:lpstr>fifty</vt:lpstr>
      <vt:lpstr>fiftyfour</vt:lpstr>
      <vt:lpstr>fiftyone</vt:lpstr>
      <vt:lpstr>fiftythree</vt:lpstr>
      <vt:lpstr>fiftytwo</vt:lpstr>
      <vt:lpstr>Fisheries</vt:lpstr>
      <vt:lpstr>fisheriesGasEFs</vt:lpstr>
      <vt:lpstr>fisheriesGasEFsN2O</vt:lpstr>
      <vt:lpstr>fisheriesLiquidEFs</vt:lpstr>
      <vt:lpstr>fisheriesLiquidEFsN2O</vt:lpstr>
      <vt:lpstr>FisheriesN2O</vt:lpstr>
      <vt:lpstr>five</vt:lpstr>
      <vt:lpstr>fiveteen</vt:lpstr>
      <vt:lpstr>Forestry</vt:lpstr>
      <vt:lpstr>forestryGasEFs</vt:lpstr>
      <vt:lpstr>forestryGasEFsN2O</vt:lpstr>
      <vt:lpstr>forestryLiquidEFs</vt:lpstr>
      <vt:lpstr>forestryLiquidEFsN2O</vt:lpstr>
      <vt:lpstr>ForestryN2O</vt:lpstr>
      <vt:lpstr>forty</vt:lpstr>
      <vt:lpstr>fortyeight</vt:lpstr>
      <vt:lpstr>fortyfive</vt:lpstr>
      <vt:lpstr>fortyfour</vt:lpstr>
      <vt:lpstr>fortynine</vt:lpstr>
      <vt:lpstr>fortyone</vt:lpstr>
      <vt:lpstr>fortyseven</vt:lpstr>
      <vt:lpstr>fortysix</vt:lpstr>
      <vt:lpstr>fortythree</vt:lpstr>
      <vt:lpstr>fortytwo</vt:lpstr>
      <vt:lpstr>four</vt:lpstr>
      <vt:lpstr>fourCategories</vt:lpstr>
      <vt:lpstr>fourteen</vt:lpstr>
      <vt:lpstr>'Revision history'!FuelDefinitions</vt:lpstr>
      <vt:lpstr>FuelDefinitions</vt:lpstr>
      <vt:lpstr>fuelInfo</vt:lpstr>
      <vt:lpstr>'Revision history'!Fuels</vt:lpstr>
      <vt:lpstr>Fuels</vt:lpstr>
      <vt:lpstr>fuelTypes</vt:lpstr>
      <vt:lpstr>Gas</vt:lpstr>
      <vt:lpstr>gaseousFossil</vt:lpstr>
      <vt:lpstr>gasMeter3EFs</vt:lpstr>
      <vt:lpstr>gasReflection</vt:lpstr>
      <vt:lpstr>gasUnits</vt:lpstr>
      <vt:lpstr>GWPSets</vt:lpstr>
      <vt:lpstr>GWPTable</vt:lpstr>
      <vt:lpstr>heatingValueCodes</vt:lpstr>
      <vt:lpstr>heatingValues</vt:lpstr>
      <vt:lpstr>Higher</vt:lpstr>
      <vt:lpstr>HVConversionValues</vt:lpstr>
      <vt:lpstr>HVList</vt:lpstr>
      <vt:lpstr>Industrial_wastes</vt:lpstr>
      <vt:lpstr>'Revision history'!Industries</vt:lpstr>
      <vt:lpstr>Industries</vt:lpstr>
      <vt:lpstr>industryEFTableKeys</vt:lpstr>
      <vt:lpstr>industryEFTableKeysN2O</vt:lpstr>
      <vt:lpstr>industryTypes</vt:lpstr>
      <vt:lpstr>Institutional</vt:lpstr>
      <vt:lpstr>institutionalGasEFs</vt:lpstr>
      <vt:lpstr>institutionalGasEFsN2O</vt:lpstr>
      <vt:lpstr>institutionalLiquidEFs</vt:lpstr>
      <vt:lpstr>institutionalLiquidEFsN2O</vt:lpstr>
      <vt:lpstr>InstitutionalN2O</vt:lpstr>
      <vt:lpstr>Liquid</vt:lpstr>
      <vt:lpstr>liquidFossil</vt:lpstr>
      <vt:lpstr>liquidLiterEFs</vt:lpstr>
      <vt:lpstr>liquidReflection</vt:lpstr>
      <vt:lpstr>liquidUnits</vt:lpstr>
      <vt:lpstr>Lower</vt:lpstr>
      <vt:lpstr>Manufacturing</vt:lpstr>
      <vt:lpstr>manufacturingGasEFs</vt:lpstr>
      <vt:lpstr>manufacturingGasEFsN2O</vt:lpstr>
      <vt:lpstr>manufacturingLiquidEFs</vt:lpstr>
      <vt:lpstr>manufacturingLiquidEFsN2O</vt:lpstr>
      <vt:lpstr>ManufacturingN2O</vt:lpstr>
      <vt:lpstr>myFuels</vt:lpstr>
      <vt:lpstr>N2OIndustryKeys</vt:lpstr>
      <vt:lpstr>nine</vt:lpstr>
      <vt:lpstr>nineteen</vt:lpstr>
      <vt:lpstr>notApplicable</vt:lpstr>
      <vt:lpstr>'Revision history'!numeratorConversionTable</vt:lpstr>
      <vt:lpstr>numeratorConversionTable</vt:lpstr>
      <vt:lpstr>'Revision history'!numerators</vt:lpstr>
      <vt:lpstr>numerators</vt:lpstr>
      <vt:lpstr>Oil_products</vt:lpstr>
      <vt:lpstr>one</vt:lpstr>
      <vt:lpstr>Other_waste</vt:lpstr>
      <vt:lpstr>Residential</vt:lpstr>
      <vt:lpstr>residentialGasEFs</vt:lpstr>
      <vt:lpstr>residentialGasEFsN2O</vt:lpstr>
      <vt:lpstr>residentialLiquidEFs</vt:lpstr>
      <vt:lpstr>residentialLiquidEFsN2O</vt:lpstr>
      <vt:lpstr>ResidentialN2O</vt:lpstr>
      <vt:lpstr>'Revision history'!sectorDefinitions</vt:lpstr>
      <vt:lpstr>sectorDefinitions</vt:lpstr>
      <vt:lpstr>seven</vt:lpstr>
      <vt:lpstr>seventeen</vt:lpstr>
      <vt:lpstr>six</vt:lpstr>
      <vt:lpstr>sixteen</vt:lpstr>
      <vt:lpstr>Solid</vt:lpstr>
      <vt:lpstr>solidEFs</vt:lpstr>
      <vt:lpstr>solidFossil</vt:lpstr>
      <vt:lpstr>solidReflection</vt:lpstr>
      <vt:lpstr>solidUnits</vt:lpstr>
      <vt:lpstr>stateMap</vt:lpstr>
      <vt:lpstr>ten</vt:lpstr>
      <vt:lpstr>thirteen</vt:lpstr>
      <vt:lpstr>thirty</vt:lpstr>
      <vt:lpstr>thirtyeight</vt:lpstr>
      <vt:lpstr>thirtyfive</vt:lpstr>
      <vt:lpstr>thirtyfour</vt:lpstr>
      <vt:lpstr>thirtynine</vt:lpstr>
      <vt:lpstr>thirtyone</vt:lpstr>
      <vt:lpstr>thirtyseven</vt:lpstr>
      <vt:lpstr>thirtysix</vt:lpstr>
      <vt:lpstr>thirtythree</vt:lpstr>
      <vt:lpstr>thirtytwo</vt:lpstr>
      <vt:lpstr>three</vt:lpstr>
      <vt:lpstr>twelve</vt:lpstr>
      <vt:lpstr>twenty</vt:lpstr>
      <vt:lpstr>twentyeight</vt:lpstr>
      <vt:lpstr>twentyfive</vt:lpstr>
      <vt:lpstr>twentyfour</vt:lpstr>
      <vt:lpstr>twentynine</vt:lpstr>
      <vt:lpstr>twentyone</vt:lpstr>
      <vt:lpstr>twentyseven</vt:lpstr>
      <vt:lpstr>twentysix</vt:lpstr>
      <vt:lpstr>twentythree</vt:lpstr>
      <vt:lpstr>twentytwo</vt:lpstr>
      <vt:lpstr>two</vt:lpstr>
      <vt:lpstr>unitCodes</vt:lpstr>
      <vt:lpstr>unitStates</vt:lpstr>
      <vt:lpstr>unitStateTypes</vt:lpstr>
    </vt:vector>
  </TitlesOfParts>
  <Company>World Resources Institute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Stephen.Russell</dc:creator>
  <cp:lastModifiedBy>Kevin Kurkul</cp:lastModifiedBy>
  <cp:lastPrinted>2008-12-12T18:00:00Z</cp:lastPrinted>
  <dcterms:created xsi:type="dcterms:W3CDTF">2008-12-05T20:10:55Z</dcterms:created>
  <dcterms:modified xsi:type="dcterms:W3CDTF">2024-09-25T19:38:26Z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0x010100E17B4CAD6B604840AC13A7CFA4929F39</vt:lpwstr>
  </property>
  <property fmtid="{D5CDD505-2E9C-101B-9397-08002B2CF9AE}" pid="3" name="MediaServiceImageTags">
    <vt:lpwstr/>
  </property>
</Properties>
</file>