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7.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codeName="ThisWorkbook" defaultThemeVersion="124226"/>
  <mc:AlternateContent xmlns:mc="http://schemas.openxmlformats.org/markup-compatibility/2006">
    <mc:Choice Requires="x15">
      <x15ac:absPath xmlns:x15ac="http://schemas.microsoft.com/office/spreadsheetml/2010/11/ac" url="https://onewri.sharepoint.com/sites/GHGProtocolCoreTeam/Shared Documents/General/Support Services/Tools/GHGMI toolbox work/Deliverables/Deliverable 3 - Calc fixes/"/>
    </mc:Choice>
  </mc:AlternateContent>
  <xr:revisionPtr revIDLastSave="0" documentId="13_ncr:1_{8127D049-6893-4853-89A0-B2A7857E327E}" xr6:coauthVersionLast="47" xr6:coauthVersionMax="47" xr10:uidLastSave="{00000000-0000-0000-0000-000000000000}"/>
  <workbookProtection workbookAlgorithmName="SHA-512" workbookHashValue="lSg8Z8fTlBLq4tuNEeNFkpnLd4TZ4GpLzoyFtIVLK8ixpyionempiVhV9+kawhcfuCQlPrCOIAznfF7+WSc5cw==" workbookSaltValue="rET9QIcFkr6O5wUTFchfuw==" workbookSpinCount="100000" lockStructure="1"/>
  <bookViews>
    <workbookView xWindow="-28920" yWindow="-15" windowWidth="29040" windowHeight="15840" tabRatio="934" xr2:uid="{55712DA4-D0F2-4536-AE41-9F2751DF1FAF}"/>
  </bookViews>
  <sheets>
    <sheet name="Welcome!" sheetId="27" r:id="rId1"/>
    <sheet name="1. Introduction" sheetId="16" r:id="rId2"/>
    <sheet name="2. Settings" sheetId="13" r:id="rId3"/>
    <sheet name="3. Calculator" sheetId="15" r:id="rId4"/>
    <sheet name="Calculate Mobile Activity Data" sheetId="23" r:id="rId5"/>
    <sheet name="Summary" sheetId="17" r:id="rId6"/>
    <sheet name="Revisions" sheetId="18" r:id="rId7"/>
    <sheet name="Reference - Lookup and Unit" sheetId="11" state="hidden" r:id="rId8"/>
    <sheet name="Reference - EF Fuel Use" sheetId="7" state="hidden" r:id="rId9"/>
    <sheet name="Reference - EF Road" sheetId="8" state="hidden" r:id="rId10"/>
    <sheet name="Reference - EF Freight" sheetId="9" state="hidden" r:id="rId11"/>
    <sheet name="Reference - EF Public" sheetId="10" state="hidden" r:id="rId12"/>
  </sheets>
  <definedNames>
    <definedName name="Dynamic_message">'3. Calculator'!#REF!</definedName>
    <definedName name="Ref_DD_1_Other_UK">'Reference - Lookup and Unit'!$A$53:$A$57</definedName>
    <definedName name="Ref_DD_1_Other_US">'Reference - Lookup and Unit'!$B$53:$B$56</definedName>
    <definedName name="Ref_DD_1_UK">'Reference - Lookup and Unit'!$C$53:$C$57</definedName>
    <definedName name="Ref_DD_1_US">'Reference - Lookup and Unit'!$B$53:$B$56</definedName>
    <definedName name="Ref_DD_3_Other_UK">'Reference - Lookup and Unit'!$C$64:$C$70</definedName>
    <definedName name="Ref_DD_3_Other_US">'Reference - Lookup and Unit'!$B$64:$B$70</definedName>
    <definedName name="Ref_DD_3_UK">'Reference - Lookup and Unit'!$C$64:$C$70</definedName>
    <definedName name="Ref_DD_3_US">'Reference - Lookup and Unit'!$B$64:$B$70</definedName>
    <definedName name="Ref_DD_ActivityData">'Reference - Lookup and Unit'!$A$53:$A$56</definedName>
    <definedName name="Ref_DD_ActivityData_Rail">'Reference - Lookup and Unit'!$A$53:$A$59</definedName>
    <definedName name="Ref_DD_Columns">'Reference - Lookup and Unit'!#REF!</definedName>
    <definedName name="Ref_DD_DistanceUnit">'Reference - Lookup and Unit'!$A$17:$A$18</definedName>
    <definedName name="Ref_DD_Fuel_Units">'Reference - Lookup and Unit'!$A$4:$A$10</definedName>
    <definedName name="Ref_DD_Fuel_VehicleDistance_Other_UK_Road">'Reference - EF Road'!$A$166:$A$226</definedName>
    <definedName name="Ref_DD_Fuel_vehicleDistance_Other_US">'Reference - EF Road'!$A$4:$A$160</definedName>
    <definedName name="Ref_DD_Fuel_vehicleDistance_Other_US_Road">'Reference - EF Road'!$A$4:$A$160</definedName>
    <definedName name="Ref_DD_Fuel_VehicleDistance_UK">'Reference - EF Road'!$A$178:$A$226</definedName>
    <definedName name="Ref_DD_Fuel_VehicleDistance_UK_Road">'Reference - EF Road'!$A$178:$A$222</definedName>
    <definedName name="Ref_DD_Fuel_vehicleDistance_US">'Reference - EF Road'!$A$16:$A$160</definedName>
    <definedName name="Ref_DD_Fuel_vehicleDistance_US_Road">'Reference - EF Road'!$A$16:$A$160</definedName>
    <definedName name="Ref_DD_Fuels_Other_UK">'Reference - Lookup and Unit'!$A$132:$A$139</definedName>
    <definedName name="Ref_DD_Fuels_Other_US">'Reference - Lookup and Unit'!$A$132:$A$139</definedName>
    <definedName name="Ref_DD_Fuels_UK">'Reference - Lookup and Unit'!$A$152:$A$165</definedName>
    <definedName name="Ref_DD_Fuels_US">'Reference - Lookup and Unit'!$A$140:$A$151</definedName>
    <definedName name="Ref_DD_IPCC_GWP">'Reference - Lookup and Unit'!$A$98:$A$100</definedName>
    <definedName name="Ref_DD_MasterUnits">'Reference - Lookup and Unit'!$A$86:$A$93</definedName>
    <definedName name="Ref_DD_NA">'Reference - Lookup and Unit'!$A$81</definedName>
    <definedName name="Ref_DD_NonUK">'Reference - Lookup and Unit'!$A$54:$A$59</definedName>
    <definedName name="Ref_DD_Numerator">'Reference - Lookup and Unit'!$A$11:$A$16</definedName>
    <definedName name="Ref_DD_PasengerDistanceUnits">'Reference - Lookup and Unit'!$A$30:$A$31</definedName>
    <definedName name="Ref_DD_Region">'Reference - Lookup and Unit'!$A$37:$A$39</definedName>
    <definedName name="Ref_DD_Scope">'Reference - Lookup and Unit'!$A$76:$A$77</definedName>
    <definedName name="Ref_DD_TransportMode">'Reference - Lookup and Unit'!$A$44:$A$48</definedName>
    <definedName name="Ref_DD_vehicle_DistanceS3_Other_US">'Reference - Lookup and Unit'!$A$169:$A$173</definedName>
    <definedName name="Ref_DD_vehicle_DistanceS3_US">'Reference - Lookup and Unit'!$A$169:$A$173</definedName>
    <definedName name="Ref_DD_vehicle_FuelUse">'Reference - EF Fuel Use'!$A$41:$A$90</definedName>
    <definedName name="Ref_DD_vehicle_FuelUse_Other_UK_Offroad">'Reference - EF Fuel Use'!$A$41:$A$53</definedName>
    <definedName name="Ref_DD_vehicle_FuelUse_Other_UK_Rail">'Reference - EF Fuel Use'!$A$41:$A$42</definedName>
    <definedName name="Ref_DD_vehicle_FuelUse_Other_US_Aircraft">'Reference - EF Fuel Use'!$A$88:$A$89</definedName>
    <definedName name="Ref_DD_vehicle_FuelUse_Other_US_Offroad">'Reference - EF Fuel Use'!$A$41:$A$87</definedName>
    <definedName name="Ref_DD_vehicle_FuelUse_Other_US_Rail">'Reference - EF Fuel Use'!$A$42:$A$42</definedName>
    <definedName name="Ref_DD_vehicle_FuelUse_Other_US_Water">'Reference - EF Fuel Use'!$A$91:$A$94</definedName>
    <definedName name="Ref_DD_vehicle_FuelUse_US">'Reference - EF Fuel Use'!$A$55:$A$90</definedName>
    <definedName name="Ref_DD_vehicle_FuelUse_US_Aircraft">'Reference - EF Fuel Use'!$A$88:$A$89</definedName>
    <definedName name="Ref_DD_vehicle_FuelUse_US_Offroad">'Reference - EF Fuel Use'!$A$55:$A$90</definedName>
    <definedName name="Ref_DD_vehicle_FuelUse_US_Rail">'Reference - EF Fuel Use'!$A$90</definedName>
    <definedName name="Ref_DD_vehicle_FuelUse_US_Water">'Reference - EF Fuel Use'!$A$91:$A$94</definedName>
    <definedName name="Ref_DD_vehicle_Passenger_Other_UK">'Reference - EF Public'!$A$4:$A$24</definedName>
    <definedName name="Ref_DD_vehicle_Passenger_Other_UK_Aircraft">'Reference - EF Public'!$A$4:$A$17</definedName>
    <definedName name="Ref_DD_vehicle_Passenger_Other_UK_Rail">'Reference - EF Public'!$A$18:$A$19</definedName>
    <definedName name="Ref_DD_vehicle_Passenger_Other_UK_Road">'Reference - EF Public'!$A$20:$A$23</definedName>
    <definedName name="Ref_DD_vehicle_Passenger_Other_UK_Water">'Reference - EF Public'!$A$24</definedName>
    <definedName name="Ref_DD_vehicle_Passenger_Other_US">'Reference - EF Public'!$A$25:$A$36</definedName>
    <definedName name="Ref_DD_vehicle_Passenger_Other_US_Aircraft">'Reference - EF Public'!$A$25:$A$27</definedName>
    <definedName name="Ref_DD_vehicle_Passenger_Other_US_Rail">'Reference - EF Public'!$A$28:$A$32</definedName>
    <definedName name="Ref_DD_vehicle_Passenger_Other_US_Road">'Reference - EF Public'!$A$33</definedName>
    <definedName name="Ref_DD_vehicle_Passenger_UK">'Reference - EF Public'!$A$4:$A$24</definedName>
    <definedName name="Ref_DD_vehicle_Passenger_UK_Aircraft">'Reference - EF Public'!$A$4:$A$17</definedName>
    <definedName name="Ref_DD_vehicle_Passenger_UK_Rail">'Reference - EF Public'!$A$18:$A$19</definedName>
    <definedName name="Ref_DD_vehicle_Passenger_UK_Road">'Reference - EF Public'!$A$20:$A$23</definedName>
    <definedName name="Ref_DD_vehicle_Passenger_UK_Water">'Reference - EF Public'!$A$24</definedName>
    <definedName name="Ref_DD_vehicle_Passenger_US">'Reference - EF Public'!$A$25:$A$36</definedName>
    <definedName name="Ref_DD_vehicle_Passenger_US_Aircraft">'Reference - EF Public'!$A$25:$A$27</definedName>
    <definedName name="Ref_DD_vehicle_Passenger_US_Rail">'Reference - EF Public'!$A$31:$A$32</definedName>
    <definedName name="Ref_DD_vehicle_Passenger_US_Road">'Reference - EF Public'!$A$33</definedName>
    <definedName name="Ref_DD_vehicle_vehicleDistance_Other">'Reference - EF Road'!$A$5:$A$14</definedName>
    <definedName name="Ref_DD_vehicle_vehicleDistance_Other_Road">'Reference - EF Road'!$A$5:$A$14</definedName>
    <definedName name="Ref_DD_vehicle_vehicleDistance_Other_UK">'Reference - EF Road'!$A$231:$A$283</definedName>
    <definedName name="Ref_DD_vehicle_vehicleDistance_Other_UK_Road">'Reference - EF Road'!$A$231:$A$283</definedName>
    <definedName name="Ref_DD_vehicle_vehicleDistance_UK">'Reference - EF Road'!$A$231:$A$283</definedName>
    <definedName name="Ref_DD_vehicle_vehicleDistance_UK_Road">'Reference - EF Road'!$A$231:$A$283</definedName>
    <definedName name="Ref_DD_vehicle_WeightDistance_Other_UK">'Reference - EF Freight'!$A$4:$A$52</definedName>
    <definedName name="Ref_DD_vehicle_WeightDistance_Other_UK_Aircraft">'Reference - EF Freight'!$A$4:$A$7</definedName>
    <definedName name="Ref_DD_vehicle_WeightDistance_Other_UK_Rail">'Reference - EF Freight'!$A$8</definedName>
    <definedName name="Ref_DD_vehicle_WeightDistance_Other_UK_Road">'Reference - EF Freight'!$A$9:$A$27</definedName>
    <definedName name="Ref_DD_vehicle_WeightDistance_Other_UK_Water">'Reference - EF Freight'!$A$28:$A$52</definedName>
    <definedName name="Ref_DD_vehicle_WeightDistance_Other_US">'Reference - EF Freight'!$A$53:$A$57</definedName>
    <definedName name="Ref_DD_vehicle_WeightDistance_Other_US_Aircraft">'Reference - EF Freight'!$A$57</definedName>
    <definedName name="Ref_DD_vehicle_WeightDistance_Other_US_Rail">'Reference - EF Freight'!$A$55</definedName>
    <definedName name="Ref_DD_vehicle_WeightDistance_Other_US_Road">'Reference - EF Freight'!$A$53:$A$54</definedName>
    <definedName name="Ref_DD_vehicle_WeightDistance_Other_US_Water">'Reference - EF Freight'!$A$56</definedName>
    <definedName name="Ref_DD_vehicle_WeightDistance_UK">'Reference - EF Freight'!$A$4:$A$52</definedName>
    <definedName name="Ref_DD_vehicle_WeightDistance_UK_Aircraft">'Reference - EF Freight'!$A$4:$A$7</definedName>
    <definedName name="Ref_DD_vehicle_WeightDistance_UK_Rail">'Reference - EF Freight'!$A$8</definedName>
    <definedName name="Ref_DD_vehicle_WeightDistance_UK_Road">'Reference - EF Freight'!$A$9:$A$27</definedName>
    <definedName name="Ref_DD_vehicle_WeightDistance_UK_Water">'Reference - EF Freight'!$A$28:$A$52</definedName>
    <definedName name="Ref_DD_vehicle_WeightDistance_US">'Reference - EF Freight'!$A$53:$A$57</definedName>
    <definedName name="Ref_DD_vehicle_WeightDistance_US_AirCraft">'Reference - EF Freight'!$A$57</definedName>
    <definedName name="Ref_DD_vehicle_WeightDistance_US_Rail">'Reference - EF Freight'!$A$55</definedName>
    <definedName name="Ref_DD_vehicle_WeightDistance_US_Road">'Reference - EF Freight'!$A$53:$A$54</definedName>
    <definedName name="Ref_DD_vehicle_WeightDistance_US_Water">'Reference - EF Freight'!$A$56</definedName>
    <definedName name="Ref_DD_WeightDistanceUnits">'Reference - Lookup and Unit'!$A$26:$A$29</definedName>
    <definedName name="Ref_EF_ByFuel">'Reference - EF Fuel Use'!$A$3:$I$36</definedName>
    <definedName name="Ref_EF_ByFuel_CH4_Other_UK">'Reference - EF Fuel Use'!$A$42:$J$53</definedName>
    <definedName name="Ref_EF_ByFuel_CH4_Other_US">'Reference - EF Fuel Use'!$A$41:$J$94</definedName>
    <definedName name="Ref_EF_ByFuel_CH4_US">'Reference - EF Fuel Use'!$A$55:$J$87</definedName>
    <definedName name="Ref_EF_ByFuel_Other_UK">'Reference - EF Fuel Use'!$A$4:$I$10</definedName>
    <definedName name="Ref_EF_ByFuel_Other_US">'Reference - EF Fuel Use'!$A$4:$I$10</definedName>
    <definedName name="Ref_EF_ByFuel_UK">'Reference - EF Fuel Use'!$A$23:$I$36</definedName>
    <definedName name="Ref_EF_ByFuel_US">'Reference - EF Fuel Use'!$A$11:$I$22</definedName>
    <definedName name="Ref_EF_Fuel_Use">'Reference - EF Fuel Use'!$A$40:$J$87</definedName>
    <definedName name="Ref_EF_Fuel_Vehicle_Distance_Other_UK">'Reference - EF Road'!$A$166:$J$226</definedName>
    <definedName name="Ref_EF_Fuel_Vehicle_Distance_Other_US">'Reference - EF Road'!$A$4:$N$160</definedName>
    <definedName name="Ref_EF_Fuel_Vehicle_Distance_UK">'Reference - EF Road'!$A$178:$J$226</definedName>
    <definedName name="Ref_EF_Fuel_Vehicle_Distance_US">'Reference - EF Road'!$A$16:$R$160</definedName>
    <definedName name="Ref_EF_IPCC_GWP_2007">'Reference - Lookup and Unit'!$B$105:$C$108</definedName>
    <definedName name="Ref_EF_IPCC_GWP_2014">'Reference - Lookup and Unit'!$B$109:$C$112</definedName>
    <definedName name="Ref_EF_IPCC_GWP_2021">'Reference - Lookup and Unit'!$B$113:$C$116</definedName>
    <definedName name="Ref_EF_Public_Transport">'Reference - EF Public'!$A$3:$N$36</definedName>
    <definedName name="Ref_EF_Public_Transport_CH4_Other_UK">'Reference - EF Public'!$A$4:$N$24</definedName>
    <definedName name="Ref_EF_Public_Transport_CH4_Other_US">'Reference - EF Public'!$A$25:$N$33</definedName>
    <definedName name="Ref_EF_Public_Transport_CH4_UK">'Reference - EF Public'!$A$4:$N$24</definedName>
    <definedName name="Ref_EF_Public_Transport_CH4_US">'Reference - EF Public'!$A$25:$N$36</definedName>
    <definedName name="Ref_EF_Public_Transport_Other_UK">'Reference - EF Public'!$A$4:$N$24</definedName>
    <definedName name="Ref_EF_Public_Transport_Other_US">'Reference - EF Public'!$A$25:$N$33</definedName>
    <definedName name="Ref_EF_Public_Transport_UK">'Reference - EF Public'!$A$4:$N$24</definedName>
    <definedName name="Ref_EF_Public_Transport_US">'Reference - EF Public'!$A$25:$N$36</definedName>
    <definedName name="Ref_EF_Vehicle_Distance_Other_UK">'Reference - EF Road'!$A$231:$Q$283</definedName>
    <definedName name="Ref_EF_Vehicle_Distance_Other_US">'Reference - EF Road'!$A$16:$R$160</definedName>
    <definedName name="Ref_EF_Vehicle_Distance_S3_Other_US">'Reference - Lookup and Unit'!$A$169:$N$173</definedName>
    <definedName name="Ref_EF_Vehicle_Distance_S3_US">'Reference - Lookup and Unit'!$A$169:$N$173</definedName>
    <definedName name="Ref_EF_Vehicle_Distance_UK">'Reference - EF Road'!$A$231:$Q$283</definedName>
    <definedName name="Ref_EF_Weight_Distance">'Reference - EF Freight'!$A$3:$I$61</definedName>
    <definedName name="Ref_EF_Weight_Distance_CH4">'Reference - EF Freight'!$A$65:$J$123</definedName>
    <definedName name="Ref_EF_Weight_Distance_CH4_Other_UK">'Reference - EF Freight'!$A$66:$J$114</definedName>
    <definedName name="Ref_EF_Weight_Distance_CH4_Other_US">'Reference - EF Freight'!$A$115:$J$119</definedName>
    <definedName name="Ref_EF_Weight_Distance_CH4_UK">'Reference - EF Freight'!$A$65:$J$114</definedName>
    <definedName name="Ref_EF_Weight_Distance_CH4_US">'Reference - EF Freight'!$A$115:$J$119</definedName>
    <definedName name="Ref_EF_Weight_Distance_Other_UK">'Reference - EF Freight'!$A$4:$I$52</definedName>
    <definedName name="Ref_EF_Weight_Distance_Other_US">'Reference - EF Freight'!$A$53:$I$57</definedName>
    <definedName name="Ref_EF_Weight_Distance_UK">'Reference - EF Freight'!$A$4:$I$52</definedName>
    <definedName name="Ref_EF_Weight_Distance_US">'Reference - EF Freight'!$A$53:$I$57</definedName>
    <definedName name="Ref_From_Units">'Reference - Lookup and Unit'!$A$4:$A$31</definedName>
    <definedName name="Ref_FuelUseVehicle_Other">'Reference - EF Road'!$A$3:$R$14</definedName>
    <definedName name="Ref_FuelUseVehicle_Other_Rail">'Reference - EF Fuel Use'!$A$42:$J$42</definedName>
    <definedName name="Ref_FuelUseVehicle_Other_Road">'Reference - EF Road'!$A$3:$R$14</definedName>
    <definedName name="Ref_FuelUseVehicle_US">'Reference - EF Fuel Use'!$A$55:$A$87</definedName>
    <definedName name="Ref_FuelUseVehicle_US_Offroad">'Reference - EF Fuel Use'!$A$55:$J$87</definedName>
    <definedName name="Ref_FuelUseVehicle_US_Rail">'Reference - EF Fuel Use'!$A$90:$J$90</definedName>
    <definedName name="Ref_FuelUseVehicle_US_water">'Reference - EF Fuel Use'!$A$91:$J$94</definedName>
    <definedName name="Ref_Master_Unit_Table">'Reference - Lookup and Unit'!$B$4:$AC$31</definedName>
    <definedName name="Ref_ModeTransport_Other_UK">'Reference - Lookup and Unit'!$C$122:$C$126</definedName>
    <definedName name="Ref_ModeTransport_Other_US">'Reference - Lookup and Unit'!$C$122:$C$126</definedName>
    <definedName name="Ref_ModeTransport_UK">'Reference - Lookup and Unit'!$B$122:$B$125</definedName>
    <definedName name="Ref_ModeTransport_US">'Reference - Lookup and Unit'!$A$122:$A$126</definedName>
    <definedName name="Ref_Other_to">'2. Settings'!$C$12</definedName>
    <definedName name="REF_To_Unit">'Reference - Lookup and Unit'!$B$3:$AC$3</definedName>
    <definedName name="Ref_Total_Emission">'3. Calculator'!$U$54</definedName>
    <definedName name="Ref_Total_Emission_Biomass">'3. Calculator'!$V$54</definedName>
    <definedName name="Ref_VehicleDistance_UK">'Reference - EF Road'!$A$178:$J$226</definedName>
    <definedName name="Set_DD_Vehicle_Units">'2. Settings'!$H$39:$H$54</definedName>
    <definedName name="Setting_IPCC_GWP_VERSION">'2. Settings'!$C$6</definedName>
    <definedName name="Settings_Custom_Fuels">'2. Settings'!$B$18:$B$32</definedName>
    <definedName name="Settings_Custom_Vehicle">'2. Settings'!$B$39:$B$54</definedName>
    <definedName name="Tbl_Activity_Heading">'3. Calculator'!$B$6:$V$8</definedName>
    <definedName name="Tbl_Fuel_Settings">'2. Settings'!$B$16:$K$32</definedName>
    <definedName name="Tbl_User_data">'3. Calculator'!$B$9:$V$53</definedName>
    <definedName name="Tbl_vehical_Settings">'2. Settings'!$B$37:$K$54</definedName>
    <definedName name="UK_CNG">'Reference - EF Fuel Use'!$C$29</definedName>
    <definedName name="UK_diesel">'Reference - EF Fuel Use'!$C$25</definedName>
    <definedName name="UK_Economy">'Calculate Mobile Activity Data'!$B$30:$E$84</definedName>
    <definedName name="UK_LNG">'Reference - EF Fuel Use'!$C$30</definedName>
    <definedName name="UK_LPG">'Reference - EF Fuel Use'!$C$31</definedName>
    <definedName name="UK_petrol">'Reference - EF Fuel Use'!$C$27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9" i="13" l="1" a="1"/>
  <c r="I39" i="13" s="1"/>
  <c r="C17" i="23" l="1"/>
  <c r="C10" i="23"/>
  <c r="AU33" i="15" a="1"/>
  <c r="AV35" i="15"/>
  <c r="AU45" i="15" a="1"/>
  <c r="AX21" i="15" a="1"/>
  <c r="AU30" i="15" a="1"/>
  <c r="AU53" i="15" a="1"/>
  <c r="AW46" i="15"/>
  <c r="AX15" i="15" a="1"/>
  <c r="AU26" i="15" a="1"/>
  <c r="AU14" i="15" a="1"/>
  <c r="AX26" i="15" a="1"/>
  <c r="AW22" i="15"/>
  <c r="AW18" i="15"/>
  <c r="AX10" i="15" a="1"/>
  <c r="AX20" i="15" a="1"/>
  <c r="AV15" i="15"/>
  <c r="AV27" i="15"/>
  <c r="AX25" i="15" a="1"/>
  <c r="AV33" i="15"/>
  <c r="AX49" i="15" a="1"/>
  <c r="AX13" i="15" a="1"/>
  <c r="AX42" i="15" a="1"/>
  <c r="AV28" i="15"/>
  <c r="AW33" i="15"/>
  <c r="AU12" i="15" a="1"/>
  <c r="H55" i="17"/>
  <c r="AU15" i="15" a="1"/>
  <c r="AU48" i="15" a="1"/>
  <c r="AU32" i="15" a="1"/>
  <c r="AV20" i="15"/>
  <c r="AW15" i="15"/>
  <c r="AV29" i="15"/>
  <c r="AV40" i="15"/>
  <c r="AW28" i="15"/>
  <c r="AU10" i="15" a="1"/>
  <c r="AW13" i="15"/>
  <c r="AW16" i="15"/>
  <c r="AW47" i="15"/>
  <c r="AV26" i="15"/>
  <c r="AV24" i="15"/>
  <c r="AX24" i="15" a="1"/>
  <c r="AU51" i="15" a="1"/>
  <c r="AX18" i="15" a="1"/>
  <c r="AW53" i="15"/>
  <c r="AU39" i="15" a="1"/>
  <c r="AU23" i="15" a="1"/>
  <c r="AW36" i="15"/>
  <c r="AV13" i="15"/>
  <c r="AX48" i="15" a="1"/>
  <c r="AV19" i="15"/>
  <c r="AU17" i="15" a="1"/>
  <c r="AV18" i="15"/>
  <c r="AV53" i="15"/>
  <c r="AW45" i="15"/>
  <c r="AU21" i="15" a="1"/>
  <c r="AU44" i="15" a="1"/>
  <c r="AU47" i="15" a="1"/>
  <c r="AW27" i="15"/>
  <c r="AW31" i="15"/>
  <c r="AX33" i="15" a="1"/>
  <c r="AV30" i="15"/>
  <c r="AX51" i="15" a="1"/>
  <c r="AU31" i="15" a="1"/>
  <c r="AU16" i="15" a="1"/>
  <c r="AW24" i="15"/>
  <c r="AX29" i="15" a="1"/>
  <c r="AX45" i="15" a="1"/>
  <c r="AU27" i="15" a="1"/>
  <c r="AV32" i="15"/>
  <c r="AU22" i="15" a="1"/>
  <c r="AX46" i="15" a="1"/>
  <c r="AW42" i="15"/>
  <c r="AX47" i="15" a="1"/>
  <c r="AV36" i="15"/>
  <c r="K55" i="17"/>
  <c r="AW14" i="15"/>
  <c r="AW32" i="15"/>
  <c r="AX53" i="15" a="1"/>
  <c r="AU43" i="15" a="1"/>
  <c r="AV14" i="15"/>
  <c r="AW37" i="15"/>
  <c r="AX44" i="15" a="1"/>
  <c r="AU11" i="15" a="1"/>
  <c r="AV47" i="15"/>
  <c r="AV38" i="15"/>
  <c r="AV39" i="15"/>
  <c r="AV16" i="15"/>
  <c r="AW43" i="15"/>
  <c r="AW51" i="15"/>
  <c r="AV37" i="15"/>
  <c r="J55" i="17"/>
  <c r="AV25" i="15"/>
  <c r="AW34" i="15"/>
  <c r="AU28" i="15" a="1"/>
  <c r="AW50" i="15"/>
  <c r="AW39" i="15"/>
  <c r="AX35" i="15" a="1"/>
  <c r="AX23" i="15" a="1"/>
  <c r="AV9" i="15" a="1"/>
  <c r="AU34" i="15" a="1"/>
  <c r="AX34" i="15" a="1"/>
  <c r="I55" i="17"/>
  <c r="AV42" i="15"/>
  <c r="AX11" i="15" a="1"/>
  <c r="AW20" i="15"/>
  <c r="AX27" i="15" a="1"/>
  <c r="AX41" i="15" a="1"/>
  <c r="AX30" i="15" a="1"/>
  <c r="AV41" i="15"/>
  <c r="AX22" i="15" a="1"/>
  <c r="AX39" i="15" a="1"/>
  <c r="AX50" i="15" a="1"/>
  <c r="AW9" i="15" a="1"/>
  <c r="AX38" i="15" a="1"/>
  <c r="AX12" i="15" a="1"/>
  <c r="AU50" i="15" a="1"/>
  <c r="AX9" i="15" a="1"/>
  <c r="AU25" i="15" a="1"/>
  <c r="AV48" i="15"/>
  <c r="AV50" i="15"/>
  <c r="AU18" i="15" a="1"/>
  <c r="AX31" i="15" a="1"/>
  <c r="AW19" i="15"/>
  <c r="AU41" i="15" a="1"/>
  <c r="AU35" i="15" a="1"/>
  <c r="AW44" i="15"/>
  <c r="AW52" i="15"/>
  <c r="AU9" i="15" a="1"/>
  <c r="AX16" i="15" a="1"/>
  <c r="AX37" i="15" a="1"/>
  <c r="AU49" i="15" a="1"/>
  <c r="AX17" i="15" a="1"/>
  <c r="AV43" i="15"/>
  <c r="AX43" i="15" a="1"/>
  <c r="AW30" i="15"/>
  <c r="AW38" i="15"/>
  <c r="AX32" i="15" a="1"/>
  <c r="AW35" i="15"/>
  <c r="AU29" i="15" a="1"/>
  <c r="AV17" i="15"/>
  <c r="AW49" i="15"/>
  <c r="AV21" i="15"/>
  <c r="AW17" i="15"/>
  <c r="AW41" i="15"/>
  <c r="AU40" i="15" a="1"/>
  <c r="AW23" i="15"/>
  <c r="AX28" i="15" a="1"/>
  <c r="AX14" i="15" a="1"/>
  <c r="AU13" i="15" a="1"/>
  <c r="AV49" i="15"/>
  <c r="AU19" i="15" a="1"/>
  <c r="AV22" i="15"/>
  <c r="AV52" i="15"/>
  <c r="AW21" i="15"/>
  <c r="AU46" i="15" a="1"/>
  <c r="AU20" i="15" a="1"/>
  <c r="AV45" i="15"/>
  <c r="AU37" i="15" a="1"/>
  <c r="AX52" i="15" a="1"/>
  <c r="AX19" i="15" a="1"/>
  <c r="AV51" i="15"/>
  <c r="AU24" i="15" a="1"/>
  <c r="AW48" i="15"/>
  <c r="AV34" i="15"/>
  <c r="AW40" i="15"/>
  <c r="AV31" i="15"/>
  <c r="AX40" i="15" a="1"/>
  <c r="AX36" i="15" a="1"/>
  <c r="AV46" i="15"/>
  <c r="AU38" i="15" a="1"/>
  <c r="AU42" i="15" a="1"/>
  <c r="AV23" i="15"/>
  <c r="AV44" i="15"/>
  <c r="AW25" i="15"/>
  <c r="AW29" i="15"/>
  <c r="AU36" i="15" a="1"/>
  <c r="AW26" i="15"/>
  <c r="AU52" i="15" a="1"/>
  <c r="AU49" i="15" l="1"/>
  <c r="AU38" i="15"/>
  <c r="AU19" i="15"/>
  <c r="AX42" i="15"/>
  <c r="AU36" i="15"/>
  <c r="AU48" i="15"/>
  <c r="AX35" i="15"/>
  <c r="AX41" i="15"/>
  <c r="AU29" i="15"/>
  <c r="AU52" i="15"/>
  <c r="AU35" i="15"/>
  <c r="AX45" i="15"/>
  <c r="AU25" i="15"/>
  <c r="AX31" i="15"/>
  <c r="AX48" i="15"/>
  <c r="AX18" i="15"/>
  <c r="AX24" i="15"/>
  <c r="AX52" i="15"/>
  <c r="AU42" i="15"/>
  <c r="AU18" i="15"/>
  <c r="AX47" i="15"/>
  <c r="AX22" i="15"/>
  <c r="AU46" i="15"/>
  <c r="AX28" i="15"/>
  <c r="AU16" i="15"/>
  <c r="AX51" i="15"/>
  <c r="AX34" i="15"/>
  <c r="AU22" i="15"/>
  <c r="AX15" i="15"/>
  <c r="AU28" i="15"/>
  <c r="AX21" i="15"/>
  <c r="AU39" i="15"/>
  <c r="AX32" i="15"/>
  <c r="AU51" i="15"/>
  <c r="AU45" i="15"/>
  <c r="AU15" i="15"/>
  <c r="AX38" i="15"/>
  <c r="AU26" i="15"/>
  <c r="AX44" i="15"/>
  <c r="AX14" i="15"/>
  <c r="AU32" i="15"/>
  <c r="AX25" i="15"/>
  <c r="AX17" i="15"/>
  <c r="AU41" i="15"/>
  <c r="AX37" i="15"/>
  <c r="AU31" i="15"/>
  <c r="AX27" i="15"/>
  <c r="AU21" i="15"/>
  <c r="AX50" i="15"/>
  <c r="AU44" i="15"/>
  <c r="AX40" i="15"/>
  <c r="AU34" i="15"/>
  <c r="AX30" i="15"/>
  <c r="AU24" i="15"/>
  <c r="AX20" i="15"/>
  <c r="AU14" i="15"/>
  <c r="AX53" i="15"/>
  <c r="AU47" i="15"/>
  <c r="AX43" i="15"/>
  <c r="AU37" i="15"/>
  <c r="AX33" i="15"/>
  <c r="AU27" i="15"/>
  <c r="AX23" i="15"/>
  <c r="AU17" i="15"/>
  <c r="AX13" i="15"/>
  <c r="AU50" i="15"/>
  <c r="AX46" i="15"/>
  <c r="AU40" i="15"/>
  <c r="AX36" i="15"/>
  <c r="AU30" i="15"/>
  <c r="AX26" i="15"/>
  <c r="AU20" i="15"/>
  <c r="AX16" i="15"/>
  <c r="AU53" i="15"/>
  <c r="AX49" i="15"/>
  <c r="AU43" i="15"/>
  <c r="AX39" i="15"/>
  <c r="AU33" i="15"/>
  <c r="AX29" i="15"/>
  <c r="AU23" i="15"/>
  <c r="AX19" i="15"/>
  <c r="AU13" i="15"/>
  <c r="AX12" i="15"/>
  <c r="AX11" i="15"/>
  <c r="AX10" i="15"/>
  <c r="AX9" i="15"/>
  <c r="AW9" i="15"/>
  <c r="AV9" i="15"/>
  <c r="AU12" i="15"/>
  <c r="AU11" i="15"/>
  <c r="AU10" i="15"/>
  <c r="AU9" i="15"/>
  <c r="F42" i="7"/>
  <c r="N42" i="7"/>
  <c r="O42" i="7" l="1"/>
  <c r="F172" i="8"/>
  <c r="C172" i="8"/>
  <c r="F170" i="8"/>
  <c r="C170" i="8"/>
  <c r="P18" i="15"/>
  <c r="P19" i="15"/>
  <c r="P20" i="15"/>
  <c r="P21" i="15"/>
  <c r="P22" i="15"/>
  <c r="P23" i="15"/>
  <c r="P24" i="15"/>
  <c r="P25" i="15"/>
  <c r="P26" i="15"/>
  <c r="P27" i="15"/>
  <c r="P28" i="15"/>
  <c r="P29" i="15"/>
  <c r="P30" i="15"/>
  <c r="P31" i="15"/>
  <c r="P32" i="15"/>
  <c r="P33" i="15"/>
  <c r="P34" i="15"/>
  <c r="P35" i="15"/>
  <c r="P36" i="15"/>
  <c r="P37" i="15"/>
  <c r="P38" i="15"/>
  <c r="P39" i="15"/>
  <c r="P40" i="15"/>
  <c r="P41" i="15"/>
  <c r="P42" i="15"/>
  <c r="P43" i="15"/>
  <c r="P44" i="15"/>
  <c r="P45" i="15"/>
  <c r="P46" i="15"/>
  <c r="P47" i="15"/>
  <c r="P48" i="15"/>
  <c r="P49" i="15"/>
  <c r="P50" i="15"/>
  <c r="P51" i="15"/>
  <c r="P52" i="15"/>
  <c r="P53" i="15"/>
  <c r="P17" i="15"/>
  <c r="C42" i="7" l="1"/>
  <c r="N43" i="7"/>
  <c r="C43" i="7" s="1"/>
  <c r="N44" i="7"/>
  <c r="C44" i="7" s="1"/>
  <c r="N45" i="7"/>
  <c r="C45" i="7" s="1"/>
  <c r="N46" i="7"/>
  <c r="C46" i="7" s="1"/>
  <c r="N47" i="7"/>
  <c r="C47" i="7" s="1"/>
  <c r="N48" i="7"/>
  <c r="C48" i="7" s="1"/>
  <c r="N49" i="7"/>
  <c r="C49" i="7" s="1"/>
  <c r="N50" i="7"/>
  <c r="C50" i="7" s="1"/>
  <c r="N51" i="7"/>
  <c r="C51" i="7" s="1"/>
  <c r="N52" i="7"/>
  <c r="C52" i="7" s="1"/>
  <c r="N53" i="7"/>
  <c r="C53" i="7" s="1"/>
  <c r="O43" i="7"/>
  <c r="F43" i="7" s="1"/>
  <c r="O44" i="7"/>
  <c r="F44" i="7" s="1"/>
  <c r="O45" i="7"/>
  <c r="F45" i="7" s="1"/>
  <c r="O46" i="7"/>
  <c r="F46" i="7" s="1"/>
  <c r="O47" i="7"/>
  <c r="F47" i="7" s="1"/>
  <c r="O48" i="7"/>
  <c r="F48" i="7" s="1"/>
  <c r="O49" i="7"/>
  <c r="F49" i="7" s="1"/>
  <c r="O50" i="7"/>
  <c r="F50" i="7" s="1"/>
  <c r="O51" i="7"/>
  <c r="F51" i="7" s="1"/>
  <c r="O52" i="7"/>
  <c r="F52" i="7" s="1"/>
  <c r="O53" i="7"/>
  <c r="F53" i="7" s="1"/>
  <c r="P231" i="8"/>
  <c r="AW10" i="15"/>
  <c r="AW11" i="15"/>
  <c r="AV11" i="15"/>
  <c r="AV10" i="15"/>
  <c r="AV12" i="15"/>
  <c r="AW12" i="15"/>
  <c r="C13" i="15" l="1" a="1"/>
  <c r="C13" i="15" s="1"/>
  <c r="Q13" i="15" s="1"/>
  <c r="C14" i="15" a="1"/>
  <c r="C14" i="15" s="1"/>
  <c r="Q14" i="15" s="1"/>
  <c r="C15" i="15" a="1"/>
  <c r="C15" i="15" s="1"/>
  <c r="Q15" i="15" s="1"/>
  <c r="C16" i="15" a="1"/>
  <c r="C16" i="15" s="1"/>
  <c r="Q16" i="15" s="1"/>
  <c r="C17" i="15" a="1"/>
  <c r="C17" i="15" s="1"/>
  <c r="Q17" i="15" s="1"/>
  <c r="C18" i="15" a="1"/>
  <c r="C18" i="15" s="1"/>
  <c r="Q18" i="15" s="1"/>
  <c r="C19" i="15" a="1"/>
  <c r="C19" i="15" s="1"/>
  <c r="Q19" i="15" s="1"/>
  <c r="C20" i="15" a="1"/>
  <c r="C20" i="15" s="1"/>
  <c r="Q20" i="15" s="1"/>
  <c r="C21" i="15" a="1"/>
  <c r="C21" i="15" s="1"/>
  <c r="Q21" i="15" s="1"/>
  <c r="C22" i="15" a="1"/>
  <c r="C22" i="15" s="1"/>
  <c r="Q22" i="15" s="1"/>
  <c r="C23" i="15" a="1"/>
  <c r="C23" i="15" s="1"/>
  <c r="Q23" i="15" s="1"/>
  <c r="C24" i="15" a="1"/>
  <c r="C24" i="15" s="1"/>
  <c r="Q24" i="15" s="1"/>
  <c r="C25" i="15" a="1"/>
  <c r="C25" i="15" s="1"/>
  <c r="Q25" i="15" s="1"/>
  <c r="C26" i="15" a="1"/>
  <c r="C26" i="15" s="1"/>
  <c r="Q26" i="15" s="1"/>
  <c r="C27" i="15" a="1"/>
  <c r="C27" i="15" s="1"/>
  <c r="Q27" i="15" s="1"/>
  <c r="C28" i="15" a="1"/>
  <c r="C28" i="15" s="1"/>
  <c r="Q28" i="15" s="1"/>
  <c r="C29" i="15" a="1"/>
  <c r="C29" i="15" s="1"/>
  <c r="Q29" i="15" s="1"/>
  <c r="C30" i="15" a="1"/>
  <c r="C30" i="15" s="1"/>
  <c r="Q30" i="15" s="1"/>
  <c r="C31" i="15" a="1"/>
  <c r="C31" i="15" s="1"/>
  <c r="Q31" i="15" s="1"/>
  <c r="C32" i="15" a="1"/>
  <c r="C32" i="15" s="1"/>
  <c r="Q32" i="15" s="1"/>
  <c r="C33" i="15" a="1"/>
  <c r="C33" i="15" s="1"/>
  <c r="Q33" i="15" s="1"/>
  <c r="C34" i="15" a="1"/>
  <c r="C34" i="15" s="1"/>
  <c r="Q34" i="15" s="1"/>
  <c r="C35" i="15" a="1"/>
  <c r="C35" i="15" s="1"/>
  <c r="Q35" i="15" s="1"/>
  <c r="C36" i="15" a="1"/>
  <c r="C36" i="15" s="1"/>
  <c r="Q36" i="15" s="1"/>
  <c r="C37" i="15" a="1"/>
  <c r="C37" i="15" s="1"/>
  <c r="Q37" i="15" s="1"/>
  <c r="C38" i="15" a="1"/>
  <c r="C38" i="15" s="1"/>
  <c r="Q38" i="15" s="1"/>
  <c r="C39" i="15" a="1"/>
  <c r="C39" i="15" s="1"/>
  <c r="Q39" i="15" s="1"/>
  <c r="C40" i="15" a="1"/>
  <c r="C40" i="15" s="1"/>
  <c r="Q40" i="15" s="1"/>
  <c r="C41" i="15" a="1"/>
  <c r="C41" i="15" s="1"/>
  <c r="Q41" i="15" s="1"/>
  <c r="C42" i="15" a="1"/>
  <c r="C42" i="15" s="1"/>
  <c r="Q42" i="15" s="1"/>
  <c r="C43" i="15" a="1"/>
  <c r="C43" i="15" s="1"/>
  <c r="Q43" i="15" s="1"/>
  <c r="C44" i="15" a="1"/>
  <c r="C44" i="15" s="1"/>
  <c r="Q44" i="15" s="1"/>
  <c r="C45" i="15" a="1"/>
  <c r="C45" i="15" s="1"/>
  <c r="Q45" i="15" s="1"/>
  <c r="C46" i="15" a="1"/>
  <c r="C46" i="15" s="1"/>
  <c r="Q46" i="15" s="1"/>
  <c r="C47" i="15" a="1"/>
  <c r="C47" i="15" s="1"/>
  <c r="Q47" i="15" s="1"/>
  <c r="C48" i="15" a="1"/>
  <c r="C48" i="15" s="1"/>
  <c r="Q48" i="15" s="1"/>
  <c r="C49" i="15" a="1"/>
  <c r="C49" i="15" s="1"/>
  <c r="Q49" i="15" s="1"/>
  <c r="C50" i="15" a="1"/>
  <c r="C50" i="15" s="1"/>
  <c r="Q50" i="15" s="1"/>
  <c r="C51" i="15" a="1"/>
  <c r="C51" i="15" s="1"/>
  <c r="Q51" i="15" s="1"/>
  <c r="C52" i="15" a="1"/>
  <c r="C52" i="15" s="1"/>
  <c r="Q52" i="15" s="1"/>
  <c r="C53" i="15" a="1"/>
  <c r="C53" i="15" s="1"/>
  <c r="Q53" i="15" s="1"/>
  <c r="C9" i="15" a="1"/>
  <c r="C9" i="15" s="1"/>
  <c r="Q9" i="15" s="1"/>
  <c r="C10" i="15" a="1"/>
  <c r="C10" i="15" s="1"/>
  <c r="Q10" i="15" s="1"/>
  <c r="C11" i="15" a="1"/>
  <c r="C11" i="15" s="1"/>
  <c r="Q11" i="15" s="1"/>
  <c r="C12" i="15" a="1"/>
  <c r="C12" i="15" s="1"/>
  <c r="Q12" i="15" s="1"/>
  <c r="P9" i="15" l="1"/>
  <c r="AY31" i="15" a="1"/>
  <c r="AY31" i="15" s="1"/>
  <c r="AY29" i="15" a="1"/>
  <c r="AY29" i="15" s="1"/>
  <c r="AY47" i="15" a="1"/>
  <c r="AY47" i="15" s="1"/>
  <c r="AY22" i="15" a="1"/>
  <c r="AY22" i="15" s="1"/>
  <c r="AY20" i="15" a="1"/>
  <c r="AY20" i="15" s="1"/>
  <c r="AY32" i="15" a="1"/>
  <c r="AY32" i="15" s="1"/>
  <c r="AY50" i="15" a="1"/>
  <c r="AY50" i="15" s="1"/>
  <c r="AY49" i="15" a="1"/>
  <c r="AY49" i="15" s="1"/>
  <c r="AY28" i="15" a="1"/>
  <c r="AY28" i="15" s="1"/>
  <c r="AY27" i="15" a="1"/>
  <c r="AY27" i="15" s="1"/>
  <c r="AY46" i="15" a="1"/>
  <c r="AY46" i="15" s="1"/>
  <c r="AY25" i="15" a="1"/>
  <c r="AY25" i="15" s="1"/>
  <c r="AY24" i="15" a="1"/>
  <c r="AY24" i="15" s="1"/>
  <c r="AY43" i="15" a="1"/>
  <c r="AY43" i="15" s="1"/>
  <c r="AY42" i="15" a="1"/>
  <c r="AY42" i="15" s="1"/>
  <c r="AY21" i="15" a="1"/>
  <c r="AY21" i="15" s="1"/>
  <c r="AY40" i="15" a="1"/>
  <c r="AY40" i="15" s="1"/>
  <c r="AY39" i="15" a="1"/>
  <c r="AY39" i="15" s="1"/>
  <c r="AY38" i="15" a="1"/>
  <c r="AY38" i="15" s="1"/>
  <c r="AY17" i="15" a="1"/>
  <c r="AY17" i="15" s="1"/>
  <c r="AY36" i="15" a="1"/>
  <c r="AY36" i="15" s="1"/>
  <c r="AY16" i="15" a="1"/>
  <c r="AY16" i="15" s="1"/>
  <c r="AY35" i="15" a="1"/>
  <c r="AY35" i="15" s="1"/>
  <c r="AY15" i="15" a="1"/>
  <c r="AY15" i="15" s="1"/>
  <c r="AY34" i="15" a="1"/>
  <c r="AY34" i="15" s="1"/>
  <c r="AY52" i="15" a="1"/>
  <c r="AY52" i="15" s="1"/>
  <c r="AY51" i="15" a="1"/>
  <c r="AY51" i="15" s="1"/>
  <c r="AY30" i="15" a="1"/>
  <c r="AY30" i="15" s="1"/>
  <c r="AY48" i="15" a="1"/>
  <c r="AY48" i="15" s="1"/>
  <c r="AY26" i="15" a="1"/>
  <c r="AY26" i="15" s="1"/>
  <c r="AY45" i="15" a="1"/>
  <c r="AY45" i="15" s="1"/>
  <c r="AY44" i="15" a="1"/>
  <c r="AY44" i="15" s="1"/>
  <c r="AY23" i="15" a="1"/>
  <c r="AY23" i="15" s="1"/>
  <c r="AY41" i="15" a="1"/>
  <c r="AY41" i="15" s="1"/>
  <c r="AY19" i="15" a="1"/>
  <c r="AY19" i="15" s="1"/>
  <c r="AY18" i="15" a="1"/>
  <c r="AY18" i="15" s="1"/>
  <c r="AY37" i="15" a="1"/>
  <c r="AY37" i="15" s="1"/>
  <c r="AY53" i="15" a="1"/>
  <c r="AY53" i="15" s="1"/>
  <c r="AY33" i="15" a="1"/>
  <c r="AY33" i="15" s="1"/>
  <c r="AY9" i="15" a="1"/>
  <c r="AY9" i="15" s="1"/>
  <c r="AY14" i="15" a="1"/>
  <c r="AY14" i="15" s="1"/>
  <c r="AY12" i="15" a="1"/>
  <c r="AY12" i="15" s="1"/>
  <c r="AY10" i="15" a="1"/>
  <c r="AY10" i="15" s="1"/>
  <c r="AY13" i="15" a="1"/>
  <c r="AY13" i="15" s="1"/>
  <c r="AY11" i="15" a="1"/>
  <c r="AY11" i="15" s="1"/>
  <c r="P16" i="15"/>
  <c r="P15" i="15"/>
  <c r="P14" i="15"/>
  <c r="P12" i="15"/>
  <c r="P13" i="15"/>
  <c r="P10" i="15"/>
  <c r="AE33" i="15" a="1"/>
  <c r="AF36" i="15" a="1"/>
  <c r="AA15" i="15" a="1"/>
  <c r="AC37" i="15" a="1"/>
  <c r="AA28" i="15" a="1"/>
  <c r="AJ37" i="15" a="1"/>
  <c r="AC29" i="15" a="1"/>
  <c r="AG15" i="15" a="1"/>
  <c r="AL27" i="15" a="1"/>
  <c r="AL33" i="15" a="1"/>
  <c r="AK29" i="15" a="1"/>
  <c r="AL52" i="15" a="1"/>
  <c r="AD20" i="15" a="1"/>
  <c r="AD35" i="15" a="1"/>
  <c r="AG35" i="15" a="1"/>
  <c r="AH31" i="15" a="1"/>
  <c r="AE14" i="15" a="1"/>
  <c r="AG38" i="15" a="1"/>
  <c r="AH24" i="15" a="1"/>
  <c r="AJ34" i="15" a="1"/>
  <c r="AC46" i="15" a="1"/>
  <c r="AK32" i="15" a="1"/>
  <c r="AH30" i="15" a="1"/>
  <c r="AL19" i="15" a="1"/>
  <c r="AJ15" i="15" a="1"/>
  <c r="AA53" i="15" a="1"/>
  <c r="AI44" i="15" a="1"/>
  <c r="AC33" i="15" a="1"/>
  <c r="AG27" i="15" a="1"/>
  <c r="AL10" i="15" a="1"/>
  <c r="AI14" i="15" a="1"/>
  <c r="AI25" i="15" a="1"/>
  <c r="AL9" i="15" a="1"/>
  <c r="AA25" i="15" a="1"/>
  <c r="AI40" i="15" a="1"/>
  <c r="AE32" i="15" a="1"/>
  <c r="AC38" i="15" a="1"/>
  <c r="AD12" i="15" a="1"/>
  <c r="AH42" i="15" a="1"/>
  <c r="AL32" i="15" a="1"/>
  <c r="AD29" i="15" a="1"/>
  <c r="AI32" i="15" a="1"/>
  <c r="AJ23" i="15" a="1"/>
  <c r="AD39" i="15" a="1"/>
  <c r="AK46" i="15" a="1"/>
  <c r="AI17" i="15" a="1"/>
  <c r="AA30" i="15" a="1"/>
  <c r="AD46" i="15" a="1"/>
  <c r="AC35" i="15" a="1"/>
  <c r="AD42" i="15" a="1"/>
  <c r="AG49" i="15" a="1"/>
  <c r="AK26" i="15" a="1"/>
  <c r="AK36" i="15" a="1"/>
  <c r="AJ32" i="15" a="1"/>
  <c r="AB11" i="15" a="1"/>
  <c r="AJ39" i="15" a="1"/>
  <c r="AA36" i="15" a="1"/>
  <c r="AF32" i="15" a="1"/>
  <c r="AF10" i="15" a="1"/>
  <c r="AB34" i="15" a="1"/>
  <c r="AB43" i="15" a="1"/>
  <c r="AA22" i="15" a="1"/>
  <c r="AB18" i="15" a="1"/>
  <c r="AE22" i="15" a="1"/>
  <c r="AI49" i="15" a="1"/>
  <c r="AC34" i="15" a="1"/>
  <c r="AG41" i="15" a="1"/>
  <c r="AJ35" i="15" a="1"/>
  <c r="AG18" i="15" a="1"/>
  <c r="AF14" i="15" a="1"/>
  <c r="AI50" i="15" a="1"/>
  <c r="AE27" i="15" a="1"/>
  <c r="AE37" i="15" a="1"/>
  <c r="AD51" i="15" a="1"/>
  <c r="AG10" i="15" a="1"/>
  <c r="AH46" i="15" a="1"/>
  <c r="AA20" i="15" a="1"/>
  <c r="AJ44" i="15" a="1"/>
  <c r="AD14" i="15" a="1"/>
  <c r="AI45" i="15" a="1"/>
  <c r="AJ48" i="15" a="1"/>
  <c r="AF21" i="15" a="1"/>
  <c r="AE21" i="15" a="1"/>
  <c r="AK49" i="15" a="1"/>
  <c r="AI24" i="15" a="1"/>
  <c r="AF12" i="15" a="1"/>
  <c r="AE34" i="15" a="1"/>
  <c r="AA52" i="15" a="1"/>
  <c r="AI46" i="15" a="1"/>
  <c r="AH35" i="15" a="1"/>
  <c r="AE16" i="15" a="1"/>
  <c r="AI35" i="15" a="1"/>
  <c r="AF13" i="15" a="1"/>
  <c r="AB24" i="15" a="1"/>
  <c r="AL37" i="15" a="1"/>
  <c r="AG20" i="15" a="1"/>
  <c r="AF11" i="15" a="1"/>
  <c r="AJ53" i="15" a="1"/>
  <c r="AD37" i="15" a="1"/>
  <c r="AC26" i="15" a="1"/>
  <c r="AG46" i="15" a="1"/>
  <c r="AL13" i="15" a="1"/>
  <c r="AG43" i="15" a="1"/>
  <c r="AE15" i="15" a="1"/>
  <c r="AL46" i="15" a="1"/>
  <c r="AF30" i="15" a="1"/>
  <c r="AC39" i="15" a="1"/>
  <c r="AD31" i="15" a="1"/>
  <c r="AD36" i="15" a="1"/>
  <c r="AE51" i="15" a="1"/>
  <c r="AK14" i="15" a="1"/>
  <c r="AA12" i="15" a="1"/>
  <c r="AA51" i="15" a="1"/>
  <c r="AL47" i="15" a="1"/>
  <c r="AK27" i="15" a="1"/>
  <c r="AB31" i="15" a="1"/>
  <c r="AJ38" i="15" a="1"/>
  <c r="AB39" i="15" a="1"/>
  <c r="AG53" i="15" a="1"/>
  <c r="AB32" i="15" a="1"/>
  <c r="AJ22" i="15" a="1"/>
  <c r="AG31" i="15" a="1"/>
  <c r="AC45" i="15" a="1"/>
  <c r="AG21" i="15" a="1"/>
  <c r="AE46" i="15" a="1"/>
  <c r="AE52" i="15" a="1"/>
  <c r="AA48" i="15" a="1"/>
  <c r="AC22" i="15" a="1"/>
  <c r="AA10" i="15" a="1"/>
  <c r="AG39" i="15" a="1"/>
  <c r="AH32" i="15" a="1"/>
  <c r="AL14" i="15" a="1"/>
  <c r="AF9" i="15" a="1"/>
  <c r="AG14" i="15" a="1"/>
  <c r="AB45" i="15" a="1"/>
  <c r="AK18" i="15" a="1"/>
  <c r="AL30" i="15" a="1"/>
  <c r="AG34" i="15" a="1"/>
  <c r="AC18" i="15" a="1"/>
  <c r="AL18" i="15" a="1"/>
  <c r="AB16" i="15" a="1"/>
  <c r="AG11" i="15" a="1"/>
  <c r="AK10" i="15" a="1"/>
  <c r="AC43" i="15" a="1"/>
  <c r="AI30" i="15" a="1"/>
  <c r="AB27" i="15" a="1"/>
  <c r="AI15" i="15" a="1"/>
  <c r="AH38" i="15" a="1"/>
  <c r="AD15" i="15" a="1"/>
  <c r="AB9" i="15" a="1"/>
  <c r="AK42" i="15" a="1"/>
  <c r="AG16" i="15" a="1"/>
  <c r="AA38" i="15" a="1"/>
  <c r="AK25" i="15" a="1"/>
  <c r="AH51" i="15" a="1"/>
  <c r="AL39" i="15" a="1"/>
  <c r="AK53" i="15" a="1"/>
  <c r="AH29" i="15" a="1"/>
  <c r="AI23" i="15" a="1"/>
  <c r="AE19" i="15" a="1"/>
  <c r="AC19" i="15" a="1"/>
  <c r="AB53" i="15" a="1"/>
  <c r="AC36" i="15" a="1"/>
  <c r="AF28" i="15" a="1"/>
  <c r="AC49" i="15" a="1"/>
  <c r="AH41" i="15" a="1"/>
  <c r="AB30" i="15" a="1"/>
  <c r="AI19" i="15" a="1"/>
  <c r="AF49" i="15" a="1"/>
  <c r="AJ21" i="15" a="1"/>
  <c r="AF35" i="15" a="1"/>
  <c r="AG17" i="15" a="1"/>
  <c r="AB17" i="15" a="1"/>
  <c r="AD52" i="15" a="1"/>
  <c r="AE38" i="15" a="1"/>
  <c r="AK24" i="15" a="1"/>
  <c r="AK40" i="15" a="1"/>
  <c r="AG9" i="15" a="1"/>
  <c r="AC25" i="15" a="1"/>
  <c r="AE24" i="15" a="1"/>
  <c r="AC40" i="15" a="1"/>
  <c r="AK52" i="15" a="1"/>
  <c r="AJ10" i="15" a="1"/>
  <c r="AH21" i="15" a="1"/>
  <c r="AJ52" i="15" a="1"/>
  <c r="AD48" i="15" a="1"/>
  <c r="AF33" i="15" a="1"/>
  <c r="AL16" i="15" a="1"/>
  <c r="AA18" i="15" a="1"/>
  <c r="AL21" i="15" a="1"/>
  <c r="AL45" i="15" a="1"/>
  <c r="AH48" i="15" a="1"/>
  <c r="AC11" i="15" a="1"/>
  <c r="AJ13" i="15" a="1"/>
  <c r="AD19" i="15" a="1"/>
  <c r="AJ47" i="15" a="1"/>
  <c r="AL43" i="15" a="1"/>
  <c r="AL38" i="15" a="1"/>
  <c r="AI37" i="15" a="1"/>
  <c r="AI21" i="15" a="1"/>
  <c r="AE36" i="15" a="1"/>
  <c r="AH13" i="15" a="1"/>
  <c r="AF20" i="15" a="1"/>
  <c r="AB52" i="15" a="1"/>
  <c r="AI53" i="15" a="1"/>
  <c r="AB21" i="15" a="1"/>
  <c r="AJ25" i="15" a="1"/>
  <c r="AE28" i="15" a="1"/>
  <c r="AI11" i="15" a="1"/>
  <c r="AK33" i="15" a="1"/>
  <c r="AB23" i="15" a="1"/>
  <c r="AI20" i="15" a="1"/>
  <c r="AG36" i="15" a="1"/>
  <c r="AL28" i="15" a="1"/>
  <c r="AF46" i="15" a="1"/>
  <c r="AB10" i="15" a="1"/>
  <c r="AA33" i="15" a="1"/>
  <c r="AA14" i="15" a="1"/>
  <c r="AK19" i="15" a="1"/>
  <c r="AG47" i="15" a="1"/>
  <c r="AK12" i="15" a="1"/>
  <c r="AE40" i="15" a="1"/>
  <c r="AC14" i="15" a="1"/>
  <c r="AF25" i="15" a="1"/>
  <c r="AI28" i="15" a="1"/>
  <c r="AK20" i="15" a="1"/>
  <c r="AE48" i="15" a="1"/>
  <c r="AB20" i="15" a="1"/>
  <c r="AD38" i="15" a="1"/>
  <c r="AJ9" i="15" a="1"/>
  <c r="AI51" i="15" a="1"/>
  <c r="AH50" i="15" a="1"/>
  <c r="AC13" i="15" a="1"/>
  <c r="AF48" i="15" a="1"/>
  <c r="AC42" i="15" a="1"/>
  <c r="AH27" i="15" a="1"/>
  <c r="AC12" i="15" a="1"/>
  <c r="AK50" i="15" a="1"/>
  <c r="AH23" i="15" a="1"/>
  <c r="AD27" i="15" a="1"/>
  <c r="AF43" i="15" a="1"/>
  <c r="AE47" i="15" a="1"/>
  <c r="AC53" i="15" a="1"/>
  <c r="AK9" i="15" a="1"/>
  <c r="AK38" i="15" a="1"/>
  <c r="AF24" i="15" a="1"/>
  <c r="AF51" i="15" a="1"/>
  <c r="AI29" i="15" a="1"/>
  <c r="AC52" i="15" a="1"/>
  <c r="AB26" i="15" a="1"/>
  <c r="AD28" i="15" a="1"/>
  <c r="AI13" i="15" a="1"/>
  <c r="AI18" i="15" a="1"/>
  <c r="AE50" i="15" a="1"/>
  <c r="AE29" i="15" a="1"/>
  <c r="AG51" i="15" a="1"/>
  <c r="AC16" i="15" a="1"/>
  <c r="AD10" i="15" a="1"/>
  <c r="AA34" i="15" a="1"/>
  <c r="AB46" i="15" a="1"/>
  <c r="AL12" i="15" a="1"/>
  <c r="AC24" i="15" a="1"/>
  <c r="AC27" i="15" a="1"/>
  <c r="AA13" i="15" a="1"/>
  <c r="AI48" i="15" a="1"/>
  <c r="AB14" i="15" a="1"/>
  <c r="AD26" i="15" a="1"/>
  <c r="AB33" i="15" a="1"/>
  <c r="AG32" i="15" a="1"/>
  <c r="AA31" i="15" a="1"/>
  <c r="AL26" i="15" a="1"/>
  <c r="AF34" i="15" a="1"/>
  <c r="AC21" i="15" a="1"/>
  <c r="AG33" i="15" a="1"/>
  <c r="AF16" i="15" a="1"/>
  <c r="AA46" i="15" a="1"/>
  <c r="AJ31" i="15" a="1"/>
  <c r="AI39" i="15" a="1"/>
  <c r="AI31" i="15" a="1"/>
  <c r="AK41" i="15" a="1"/>
  <c r="AI10" i="15" a="1"/>
  <c r="AI22" i="15" a="1"/>
  <c r="AH37" i="15" a="1"/>
  <c r="AE31" i="15" a="1"/>
  <c r="AF40" i="15" a="1"/>
  <c r="AL17" i="15" a="1"/>
  <c r="AI43" i="15" a="1"/>
  <c r="AE11" i="15" a="1"/>
  <c r="AG42" i="15" a="1"/>
  <c r="AE26" i="15" a="1"/>
  <c r="AD17" i="15" a="1"/>
  <c r="AJ27" i="15" a="1"/>
  <c r="AA21" i="15" a="1"/>
  <c r="AH33" i="15" a="1"/>
  <c r="AE53" i="15" a="1"/>
  <c r="AF27" i="15" a="1"/>
  <c r="AH17" i="15" a="1"/>
  <c r="AF23" i="15" a="1"/>
  <c r="AB50" i="15" a="1"/>
  <c r="AJ36" i="15" a="1"/>
  <c r="AB15" i="15" a="1"/>
  <c r="AJ51" i="15" a="1"/>
  <c r="AD34" i="15" a="1"/>
  <c r="AL29" i="15" a="1"/>
  <c r="AF41" i="15" a="1"/>
  <c r="AH10" i="15" a="1"/>
  <c r="AJ40" i="15" a="1"/>
  <c r="AA45" i="15" a="1"/>
  <c r="AF53" i="15" a="1"/>
  <c r="AF26" i="15" a="1"/>
  <c r="AB13" i="15" a="1"/>
  <c r="AE13" i="15" a="1"/>
  <c r="AH20" i="15" a="1"/>
  <c r="AK13" i="15" a="1"/>
  <c r="AL51" i="15" a="1"/>
  <c r="AF18" i="15" a="1"/>
  <c r="AG44" i="15" a="1"/>
  <c r="AA27" i="15" a="1"/>
  <c r="AC47" i="15" a="1"/>
  <c r="AF44" i="15" a="1"/>
  <c r="AC17" i="15" a="1"/>
  <c r="AF15" i="15" a="1"/>
  <c r="AF22" i="15" a="1"/>
  <c r="AC31" i="15" a="1"/>
  <c r="AE42" i="15" a="1"/>
  <c r="AE41" i="15" a="1"/>
  <c r="AK15" i="15" a="1"/>
  <c r="AJ41" i="15" a="1"/>
  <c r="AD50" i="15" a="1"/>
  <c r="AI16" i="15" a="1"/>
  <c r="AI26" i="15" a="1"/>
  <c r="AC41" i="15" a="1"/>
  <c r="AD23" i="15" a="1"/>
  <c r="AA37" i="15" a="1"/>
  <c r="AG37" i="15" a="1"/>
  <c r="AD13" i="15" a="1"/>
  <c r="AD43" i="15" a="1"/>
  <c r="AJ30" i="15" a="1"/>
  <c r="AH39" i="15" a="1"/>
  <c r="AJ18" i="15" a="1"/>
  <c r="AA43" i="15" a="1"/>
  <c r="AD16" i="15" a="1"/>
  <c r="AD9" i="15" a="1"/>
  <c r="AA39" i="15" a="1"/>
  <c r="AG13" i="15" a="1"/>
  <c r="AB35" i="15" a="1"/>
  <c r="AH12" i="15" a="1"/>
  <c r="AH44" i="15" a="1"/>
  <c r="AK17" i="15" a="1"/>
  <c r="AB12" i="15" a="1"/>
  <c r="AL34" i="15" a="1"/>
  <c r="AK44" i="15" a="1"/>
  <c r="AC51" i="15" a="1"/>
  <c r="AJ16" i="15" a="1"/>
  <c r="AG19" i="15" a="1"/>
  <c r="AC32" i="15" a="1"/>
  <c r="AC23" i="15" a="1"/>
  <c r="AG26" i="15" a="1"/>
  <c r="AD33" i="15" a="1"/>
  <c r="AD45" i="15" a="1"/>
  <c r="AL15" i="15" a="1"/>
  <c r="AJ49" i="15" a="1"/>
  <c r="AJ19" i="15" a="1"/>
  <c r="AJ42" i="15" a="1"/>
  <c r="AA23" i="15" a="1"/>
  <c r="AG50" i="15" a="1"/>
  <c r="AJ29" i="15" a="1"/>
  <c r="AH11" i="15" a="1"/>
  <c r="AL25" i="15" a="1"/>
  <c r="AC15" i="15" a="1"/>
  <c r="AJ17" i="15" a="1"/>
  <c r="AB19" i="15" a="1"/>
  <c r="AE18" i="15" a="1"/>
  <c r="AE9" i="15" a="1"/>
  <c r="AG30" i="15" a="1"/>
  <c r="AA50" i="15" a="1"/>
  <c r="AJ14" i="15" a="1"/>
  <c r="AA32" i="15" a="1"/>
  <c r="AJ45" i="15" a="1"/>
  <c r="AA11" i="15" a="1"/>
  <c r="AE12" i="15" a="1"/>
  <c r="AF47" i="15" a="1"/>
  <c r="AA26" i="15" a="1"/>
  <c r="AF31" i="15" a="1"/>
  <c r="AK43" i="15" a="1"/>
  <c r="AB41" i="15" a="1"/>
  <c r="AJ46" i="15" a="1"/>
  <c r="AH26" i="15" a="1"/>
  <c r="AE10" i="15" a="1"/>
  <c r="AH14" i="15" a="1"/>
  <c r="AA17" i="15" a="1"/>
  <c r="AE17" i="15" a="1"/>
  <c r="AI36" i="15" a="1"/>
  <c r="AL31" i="15" a="1"/>
  <c r="AD47" i="15" a="1"/>
  <c r="AG48" i="15" a="1"/>
  <c r="AJ11" i="15" a="1"/>
  <c r="AK28" i="15" a="1"/>
  <c r="AI34" i="15" a="1"/>
  <c r="AJ33" i="15" a="1"/>
  <c r="AE35" i="15" a="1"/>
  <c r="AK31" i="15" a="1"/>
  <c r="AH28" i="15" a="1"/>
  <c r="AB49" i="15" a="1"/>
  <c r="AI42" i="15" a="1"/>
  <c r="AF50" i="15" a="1"/>
  <c r="AF39" i="15" a="1"/>
  <c r="AL22" i="15" a="1"/>
  <c r="AH15" i="15" a="1"/>
  <c r="AH53" i="15" a="1"/>
  <c r="AD25" i="15" a="1"/>
  <c r="AL20" i="15" a="1"/>
  <c r="AK16" i="15" a="1"/>
  <c r="AD41" i="15" a="1"/>
  <c r="AG28" i="15" a="1"/>
  <c r="AI12" i="15" a="1"/>
  <c r="AA44" i="15" a="1"/>
  <c r="AL35" i="15" a="1"/>
  <c r="AK22" i="15" a="1"/>
  <c r="AK45" i="15" a="1"/>
  <c r="AF17" i="15" a="1"/>
  <c r="AK11" i="15" a="1"/>
  <c r="AF29" i="15" a="1"/>
  <c r="AL23" i="15" a="1"/>
  <c r="AA9" i="15" a="1"/>
  <c r="AB47" i="15" a="1"/>
  <c r="AD40" i="15" a="1"/>
  <c r="AA35" i="15" a="1"/>
  <c r="AK47" i="15" a="1"/>
  <c r="AC48" i="15" a="1"/>
  <c r="AB25" i="15" a="1"/>
  <c r="AA19" i="15" a="1"/>
  <c r="AL40" i="15" a="1"/>
  <c r="AC50" i="15" a="1"/>
  <c r="AB51" i="15" a="1"/>
  <c r="AH40" i="15" a="1"/>
  <c r="AI52" i="15" a="1"/>
  <c r="AK39" i="15" a="1"/>
  <c r="AL11" i="15" a="1"/>
  <c r="AG25" i="15" a="1"/>
  <c r="AL24" i="15" a="1"/>
  <c r="AB40" i="15" a="1"/>
  <c r="AE20" i="15" a="1"/>
  <c r="AD32" i="15" a="1"/>
  <c r="AC28" i="15" a="1"/>
  <c r="AF42" i="15" a="1"/>
  <c r="AC10" i="15" a="1"/>
  <c r="AL48" i="15" a="1"/>
  <c r="AC44" i="15" a="1"/>
  <c r="AA24" i="15" a="1"/>
  <c r="AH9" i="15" a="1"/>
  <c r="AH18" i="15" a="1"/>
  <c r="AE49" i="15" a="1"/>
  <c r="AE25" i="15" a="1"/>
  <c r="AB36" i="15" a="1"/>
  <c r="AI47" i="15" a="1"/>
  <c r="AA47" i="15" a="1"/>
  <c r="AJ28" i="15" a="1"/>
  <c r="AD24" i="15" a="1"/>
  <c r="AB44" i="15" a="1"/>
  <c r="AE30" i="15" a="1"/>
  <c r="AK21" i="15" a="1"/>
  <c r="AK48" i="15" a="1"/>
  <c r="AB29" i="15" a="1"/>
  <c r="AK35" i="15" a="1"/>
  <c r="AD22" i="15" a="1"/>
  <c r="AC9" i="15" a="1"/>
  <c r="AG24" i="15" a="1"/>
  <c r="AH49" i="15" a="1"/>
  <c r="AH36" i="15" a="1"/>
  <c r="AH47" i="15" a="1"/>
  <c r="AD53" i="15" a="1"/>
  <c r="AE45" i="15" a="1"/>
  <c r="AI27" i="15" a="1"/>
  <c r="AF38" i="15" a="1"/>
  <c r="AB42" i="15" a="1"/>
  <c r="AD11" i="15" a="1"/>
  <c r="AB22" i="15" a="1"/>
  <c r="AA16" i="15" a="1"/>
  <c r="AK34" i="15" a="1"/>
  <c r="AH19" i="15" a="1"/>
  <c r="AH45" i="15" a="1"/>
  <c r="AC20" i="15" a="1"/>
  <c r="AA49" i="15" a="1"/>
  <c r="AF52" i="15" a="1"/>
  <c r="AF45" i="15" a="1"/>
  <c r="AD49" i="15" a="1"/>
  <c r="AK51" i="15" a="1"/>
  <c r="AE23" i="15" a="1"/>
  <c r="AL50" i="15" a="1"/>
  <c r="AB37" i="15" a="1"/>
  <c r="AK23" i="15" a="1"/>
  <c r="AF19" i="15" a="1"/>
  <c r="AH34" i="15" a="1"/>
  <c r="AI9" i="15" a="1"/>
  <c r="AD30" i="15" a="1"/>
  <c r="AJ43" i="15" a="1"/>
  <c r="AL53" i="15" a="1"/>
  <c r="AG12" i="15" a="1"/>
  <c r="AF37" i="15" a="1"/>
  <c r="AI41" i="15" a="1"/>
  <c r="AB48" i="15" a="1"/>
  <c r="AA29" i="15" a="1"/>
  <c r="AA42" i="15" a="1"/>
  <c r="AH52" i="15" a="1"/>
  <c r="AI33" i="15" a="1"/>
  <c r="AG29" i="15" a="1"/>
  <c r="AG23" i="15" a="1"/>
  <c r="AA41" i="15" a="1"/>
  <c r="AG22" i="15" a="1"/>
  <c r="AE39" i="15" a="1"/>
  <c r="AA40" i="15" a="1"/>
  <c r="AG45" i="15" a="1"/>
  <c r="AG52" i="15" a="1"/>
  <c r="AL49" i="15" a="1"/>
  <c r="AJ50" i="15" a="1"/>
  <c r="AH43" i="15" a="1"/>
  <c r="AJ24" i="15" a="1"/>
  <c r="AJ12" i="15" a="1"/>
  <c r="AK30" i="15" a="1"/>
  <c r="AL42" i="15" a="1"/>
  <c r="AL36" i="15" a="1"/>
  <c r="AL41" i="15" a="1"/>
  <c r="AC30" i="15" a="1"/>
  <c r="AJ26" i="15" a="1"/>
  <c r="AD21" i="15" a="1"/>
  <c r="AH25" i="15" a="1"/>
  <c r="AE44" i="15" a="1"/>
  <c r="AG40" i="15" a="1"/>
  <c r="AI38" i="15" a="1"/>
  <c r="AH22" i="15" a="1"/>
  <c r="AD18" i="15" a="1"/>
  <c r="AL44" i="15" a="1"/>
  <c r="AB28" i="15" a="1"/>
  <c r="AB38" i="15" a="1"/>
  <c r="AK37" i="15" a="1"/>
  <c r="AJ20" i="15" a="1"/>
  <c r="AE43" i="15" a="1"/>
  <c r="AH16" i="15" a="1"/>
  <c r="AD44" i="15" a="1"/>
  <c r="AF42" i="15" l="1"/>
  <c r="AG14" i="15"/>
  <c r="AI23" i="15"/>
  <c r="AI28" i="15"/>
  <c r="AK42" i="15"/>
  <c r="AI44" i="15"/>
  <c r="AI24" i="15"/>
  <c r="AE23" i="15"/>
  <c r="AL46" i="15"/>
  <c r="AL20" i="15"/>
  <c r="AA50" i="15"/>
  <c r="AF50" i="15"/>
  <c r="AA38" i="15"/>
  <c r="AH18" i="15"/>
  <c r="AC46" i="15"/>
  <c r="AG15" i="15"/>
  <c r="AB15" i="15"/>
  <c r="AL41" i="15"/>
  <c r="AB29" i="15"/>
  <c r="AI43" i="15"/>
  <c r="AB38" i="15"/>
  <c r="AH35" i="15"/>
  <c r="AA26" i="15"/>
  <c r="AA14" i="15"/>
  <c r="AF26" i="15"/>
  <c r="AL24" i="15"/>
  <c r="AI51" i="15"/>
  <c r="AE30" i="15"/>
  <c r="AB52" i="15"/>
  <c r="AI42" i="15"/>
  <c r="AA44" i="15"/>
  <c r="AK12" i="15"/>
  <c r="AH38" i="15"/>
  <c r="AF9" i="15"/>
  <c r="AC11" i="15"/>
  <c r="AA42" i="15"/>
  <c r="AK15" i="15"/>
  <c r="AF25" i="15"/>
  <c r="AF41" i="15"/>
  <c r="AI12" i="15"/>
  <c r="AG45" i="15"/>
  <c r="AG11" i="15"/>
  <c r="AH31" i="15"/>
  <c r="AG53" i="15"/>
  <c r="AC34" i="15"/>
  <c r="AF48" i="15"/>
  <c r="AD41" i="15"/>
  <c r="AB11" i="15"/>
  <c r="AC9" i="15"/>
  <c r="AB48" i="15"/>
  <c r="AB23" i="15"/>
  <c r="AB16" i="15"/>
  <c r="AD38" i="15"/>
  <c r="AJ15" i="15"/>
  <c r="AB53" i="15"/>
  <c r="AJ29" i="15"/>
  <c r="AD31" i="15"/>
  <c r="AG31" i="15"/>
  <c r="AF46" i="15"/>
  <c r="AD9" i="15"/>
  <c r="AB34" i="15"/>
  <c r="AG21" i="15"/>
  <c r="AC14" i="15"/>
  <c r="AC23" i="15"/>
  <c r="AC37" i="15"/>
  <c r="AC15" i="15"/>
  <c r="AI16" i="15"/>
  <c r="AJ23" i="15"/>
  <c r="AL12" i="15"/>
  <c r="AH15" i="15"/>
  <c r="AG9" i="15"/>
  <c r="AB9" i="15"/>
  <c r="AM9" i="15" s="1"/>
  <c r="AC26" i="15"/>
  <c r="AC49" i="15"/>
  <c r="AG33" i="15"/>
  <c r="AL25" i="15"/>
  <c r="AE21" i="15"/>
  <c r="AJ18" i="15"/>
  <c r="AE47" i="15"/>
  <c r="AJ50" i="15"/>
  <c r="AG30" i="15"/>
  <c r="AD47" i="15"/>
  <c r="AC19" i="15"/>
  <c r="AK28" i="15"/>
  <c r="AA48" i="15"/>
  <c r="AD49" i="15"/>
  <c r="AH37" i="15"/>
  <c r="AC30" i="15"/>
  <c r="AL39" i="15"/>
  <c r="AA52" i="15"/>
  <c r="AF12" i="15"/>
  <c r="AK45" i="15"/>
  <c r="AA28" i="15"/>
  <c r="AL49" i="15"/>
  <c r="AF53" i="15"/>
  <c r="AA29" i="15"/>
  <c r="AJ43" i="15"/>
  <c r="AJ26" i="15"/>
  <c r="AF14" i="15"/>
  <c r="AB37" i="15"/>
  <c r="AH22" i="15"/>
  <c r="AK22" i="15"/>
  <c r="AH49" i="15"/>
  <c r="AG18" i="15"/>
  <c r="AF40" i="15"/>
  <c r="AG27" i="15"/>
  <c r="AC45" i="15"/>
  <c r="AA23" i="15"/>
  <c r="AC24" i="15"/>
  <c r="AC41" i="15"/>
  <c r="AL36" i="15"/>
  <c r="AJ17" i="15"/>
  <c r="AI13" i="15"/>
  <c r="AK17" i="15"/>
  <c r="AK32" i="15"/>
  <c r="AI49" i="15"/>
  <c r="AF24" i="15"/>
  <c r="AF29" i="15"/>
  <c r="AF32" i="15"/>
  <c r="AD26" i="15"/>
  <c r="AL32" i="15"/>
  <c r="AC17" i="15"/>
  <c r="AB32" i="15"/>
  <c r="AE13" i="15"/>
  <c r="AF38" i="15"/>
  <c r="AJ52" i="15"/>
  <c r="AK37" i="15"/>
  <c r="AL34" i="15"/>
  <c r="AH44" i="15"/>
  <c r="AL38" i="15"/>
  <c r="AI50" i="15"/>
  <c r="AF30" i="15"/>
  <c r="AE38" i="15"/>
  <c r="AB21" i="15"/>
  <c r="AG34" i="15"/>
  <c r="AH29" i="15"/>
  <c r="AL17" i="15"/>
  <c r="AB17" i="15"/>
  <c r="AI31" i="15"/>
  <c r="AL19" i="15"/>
  <c r="AA49" i="15"/>
  <c r="AA11" i="15"/>
  <c r="AD14" i="15"/>
  <c r="AJ49" i="15"/>
  <c r="AK46" i="15"/>
  <c r="AJ19" i="15"/>
  <c r="AB33" i="15"/>
  <c r="AL43" i="15"/>
  <c r="AK18" i="15"/>
  <c r="AG46" i="15"/>
  <c r="AA20" i="15"/>
  <c r="AE20" i="15"/>
  <c r="AH43" i="15"/>
  <c r="AJ25" i="15"/>
  <c r="AH24" i="15"/>
  <c r="AD30" i="15"/>
  <c r="AJ36" i="15"/>
  <c r="AE44" i="15"/>
  <c r="AJ38" i="15"/>
  <c r="AE35" i="15"/>
  <c r="AG32" i="15"/>
  <c r="AE37" i="15"/>
  <c r="AI14" i="15"/>
  <c r="AK9" i="15"/>
  <c r="AH34" i="15"/>
  <c r="AE16" i="15"/>
  <c r="AJ34" i="15"/>
  <c r="AB46" i="15"/>
  <c r="AK38" i="15"/>
  <c r="AJ12" i="15"/>
  <c r="AE39" i="15"/>
  <c r="AE34" i="15"/>
  <c r="AB30" i="15"/>
  <c r="AD12" i="15"/>
  <c r="AF17" i="15"/>
  <c r="AJ14" i="15"/>
  <c r="AC47" i="15"/>
  <c r="AL28" i="15"/>
  <c r="AI22" i="15"/>
  <c r="AL48" i="15"/>
  <c r="AA31" i="15"/>
  <c r="AH12" i="15"/>
  <c r="AE18" i="15"/>
  <c r="AC21" i="15"/>
  <c r="AG35" i="15"/>
  <c r="AE14" i="15"/>
  <c r="AH42" i="15"/>
  <c r="AD18" i="15"/>
  <c r="AD50" i="15"/>
  <c r="AH19" i="15"/>
  <c r="AE27" i="15"/>
  <c r="AB51" i="15"/>
  <c r="AK39" i="15"/>
  <c r="AJ28" i="15"/>
  <c r="AB49" i="15"/>
  <c r="AH17" i="15"/>
  <c r="AF18" i="15"/>
  <c r="AJ31" i="15"/>
  <c r="AJ39" i="15"/>
  <c r="AD10" i="15"/>
  <c r="AB19" i="15"/>
  <c r="AB27" i="15"/>
  <c r="AL50" i="15"/>
  <c r="AH50" i="15"/>
  <c r="AD35" i="15"/>
  <c r="AB35" i="15"/>
  <c r="AF36" i="15"/>
  <c r="AK33" i="15"/>
  <c r="AG39" i="15"/>
  <c r="AL11" i="15"/>
  <c r="AG24" i="15"/>
  <c r="AD29" i="15"/>
  <c r="AI40" i="15"/>
  <c r="AD25" i="15"/>
  <c r="AK24" i="15"/>
  <c r="AD39" i="15"/>
  <c r="AA24" i="15"/>
  <c r="AE36" i="15"/>
  <c r="AJ42" i="15"/>
  <c r="AI26" i="15"/>
  <c r="AC39" i="15"/>
  <c r="AH21" i="15"/>
  <c r="AG25" i="15"/>
  <c r="AL35" i="15"/>
  <c r="AA27" i="15"/>
  <c r="AG12" i="15"/>
  <c r="AE28" i="15"/>
  <c r="AJ37" i="15"/>
  <c r="AJ51" i="15"/>
  <c r="AF39" i="15"/>
  <c r="AC36" i="15"/>
  <c r="AE32" i="15"/>
  <c r="AJ27" i="15"/>
  <c r="AI19" i="15"/>
  <c r="AF27" i="15"/>
  <c r="AD19" i="15"/>
  <c r="AH32" i="15"/>
  <c r="AK48" i="15"/>
  <c r="AC16" i="15"/>
  <c r="AJ53" i="15"/>
  <c r="AD11" i="15"/>
  <c r="AC27" i="15"/>
  <c r="AF22" i="15"/>
  <c r="AI48" i="15"/>
  <c r="AK19" i="15"/>
  <c r="AK25" i="15"/>
  <c r="AD34" i="15"/>
  <c r="AA21" i="15"/>
  <c r="AE24" i="15"/>
  <c r="AE51" i="15"/>
  <c r="AA10" i="15"/>
  <c r="AH25" i="15"/>
  <c r="AL10" i="15"/>
  <c r="AD36" i="15"/>
  <c r="AI25" i="15"/>
  <c r="AD33" i="15"/>
  <c r="AG47" i="15"/>
  <c r="AH26" i="15"/>
  <c r="AI41" i="15"/>
  <c r="AK29" i="15"/>
  <c r="AF45" i="15"/>
  <c r="AK14" i="15"/>
  <c r="AE26" i="15"/>
  <c r="AK44" i="15"/>
  <c r="AI32" i="15"/>
  <c r="AK10" i="15"/>
  <c r="AI37" i="15"/>
  <c r="AA13" i="15"/>
  <c r="AD32" i="15"/>
  <c r="AJ9" i="15"/>
  <c r="AH46" i="15"/>
  <c r="AI33" i="15"/>
  <c r="AA47" i="15"/>
  <c r="AF47" i="15"/>
  <c r="AG40" i="15"/>
  <c r="AC52" i="15"/>
  <c r="AI17" i="15"/>
  <c r="AF15" i="15"/>
  <c r="AC31" i="15"/>
  <c r="AD44" i="15"/>
  <c r="AG50" i="15"/>
  <c r="AF13" i="15"/>
  <c r="AD20" i="15"/>
  <c r="AG17" i="15"/>
  <c r="AK30" i="15"/>
  <c r="AA51" i="15"/>
  <c r="AF19" i="15"/>
  <c r="AD16" i="15"/>
  <c r="AI47" i="15"/>
  <c r="AJ45" i="15"/>
  <c r="AB36" i="15"/>
  <c r="AG41" i="15"/>
  <c r="AK40" i="15"/>
  <c r="AB47" i="15"/>
  <c r="AC48" i="15"/>
  <c r="AB39" i="15"/>
  <c r="AG48" i="15"/>
  <c r="AI21" i="15"/>
  <c r="AC40" i="15"/>
  <c r="AC33" i="15"/>
  <c r="AH45" i="15"/>
  <c r="AD15" i="15"/>
  <c r="AL27" i="15"/>
  <c r="AB41" i="15"/>
  <c r="AL18" i="15"/>
  <c r="AI10" i="15"/>
  <c r="AC42" i="15"/>
  <c r="AE22" i="15"/>
  <c r="AG44" i="15"/>
  <c r="AH36" i="15"/>
  <c r="AB22" i="15"/>
  <c r="AE42" i="15"/>
  <c r="AC13" i="15"/>
  <c r="AA40" i="15"/>
  <c r="AD21" i="15"/>
  <c r="AH30" i="15"/>
  <c r="AA30" i="15"/>
  <c r="AG52" i="15"/>
  <c r="AF23" i="15"/>
  <c r="AD17" i="15"/>
  <c r="AE10" i="15"/>
  <c r="AJ10" i="15"/>
  <c r="AG38" i="15"/>
  <c r="AI11" i="15"/>
  <c r="AG28" i="15"/>
  <c r="AH48" i="15"/>
  <c r="AL14" i="15"/>
  <c r="AF35" i="15"/>
  <c r="AC51" i="15"/>
  <c r="AL21" i="15"/>
  <c r="AG49" i="15"/>
  <c r="AG20" i="15"/>
  <c r="AD46" i="15"/>
  <c r="AG22" i="15"/>
  <c r="AD40" i="15"/>
  <c r="AI15" i="15"/>
  <c r="AA16" i="15"/>
  <c r="AD42" i="15"/>
  <c r="AH53" i="15"/>
  <c r="AA33" i="15"/>
  <c r="AE33" i="15"/>
  <c r="AA39" i="15"/>
  <c r="AH16" i="15"/>
  <c r="AF21" i="15"/>
  <c r="AK11" i="15"/>
  <c r="AG19" i="15"/>
  <c r="AH13" i="15"/>
  <c r="AG13" i="15"/>
  <c r="AJ22" i="15"/>
  <c r="AG16" i="15"/>
  <c r="AE53" i="15"/>
  <c r="AH39" i="15"/>
  <c r="AJ32" i="15"/>
  <c r="AL47" i="15"/>
  <c r="AK49" i="15"/>
  <c r="AC35" i="15"/>
  <c r="AA18" i="15"/>
  <c r="AF10" i="15"/>
  <c r="AC29" i="15"/>
  <c r="AB26" i="15"/>
  <c r="AB12" i="15"/>
  <c r="AH14" i="15"/>
  <c r="AE17" i="15"/>
  <c r="AE29" i="15"/>
  <c r="AK26" i="15"/>
  <c r="AF51" i="15"/>
  <c r="AB40" i="15"/>
  <c r="AA41" i="15"/>
  <c r="AE9" i="15"/>
  <c r="AF28" i="15"/>
  <c r="AI36" i="15"/>
  <c r="AA12" i="15"/>
  <c r="AE45" i="15"/>
  <c r="AG37" i="15"/>
  <c r="AB45" i="15"/>
  <c r="AE52" i="15"/>
  <c r="AK36" i="15"/>
  <c r="AB43" i="15"/>
  <c r="AF31" i="15"/>
  <c r="AA46" i="15"/>
  <c r="AF20" i="15"/>
  <c r="AD53" i="15"/>
  <c r="AK51" i="15"/>
  <c r="AC53" i="15"/>
  <c r="AC28" i="15"/>
  <c r="AL31" i="15"/>
  <c r="AL26" i="15"/>
  <c r="AL42" i="15"/>
  <c r="AG10" i="15"/>
  <c r="AA34" i="15"/>
  <c r="AI20" i="15"/>
  <c r="AA15" i="15"/>
  <c r="AK35" i="15"/>
  <c r="AE12" i="15"/>
  <c r="AJ40" i="15"/>
  <c r="AB50" i="15"/>
  <c r="AK52" i="15"/>
  <c r="AK47" i="15"/>
  <c r="AK16" i="15"/>
  <c r="AA25" i="15"/>
  <c r="AI27" i="15"/>
  <c r="AA37" i="15"/>
  <c r="AG51" i="15"/>
  <c r="AE49" i="15"/>
  <c r="AF37" i="15"/>
  <c r="AI38" i="15"/>
  <c r="AD24" i="15"/>
  <c r="AE48" i="15"/>
  <c r="AD13" i="15"/>
  <c r="AD27" i="15"/>
  <c r="AJ13" i="15"/>
  <c r="AE19" i="15"/>
  <c r="AI52" i="15"/>
  <c r="AL30" i="15"/>
  <c r="AH47" i="15"/>
  <c r="AB14" i="15"/>
  <c r="AA32" i="15"/>
  <c r="AH51" i="15"/>
  <c r="AL15" i="15"/>
  <c r="AA17" i="15"/>
  <c r="AC43" i="15"/>
  <c r="AC44" i="15"/>
  <c r="AL45" i="15"/>
  <c r="AG42" i="15"/>
  <c r="AA19" i="15"/>
  <c r="AI34" i="15"/>
  <c r="AF52" i="15"/>
  <c r="AJ47" i="15"/>
  <c r="AL33" i="15"/>
  <c r="AH28" i="15"/>
  <c r="AE31" i="15"/>
  <c r="AH27" i="15"/>
  <c r="AF49" i="15"/>
  <c r="AD51" i="15"/>
  <c r="AF33" i="15"/>
  <c r="AJ16" i="15"/>
  <c r="AJ20" i="15"/>
  <c r="AK50" i="15"/>
  <c r="AE46" i="15"/>
  <c r="AA9" i="15"/>
  <c r="AE43" i="15"/>
  <c r="AF11" i="15"/>
  <c r="AB24" i="15"/>
  <c r="AA53" i="15"/>
  <c r="AB18" i="15"/>
  <c r="AH23" i="15"/>
  <c r="AD52" i="15"/>
  <c r="AB20" i="15"/>
  <c r="AL44" i="15"/>
  <c r="AI29" i="15"/>
  <c r="AJ24" i="15"/>
  <c r="AL16" i="15"/>
  <c r="AC32" i="15"/>
  <c r="AL29" i="15"/>
  <c r="AJ46" i="15"/>
  <c r="AB31" i="15"/>
  <c r="AC12" i="15"/>
  <c r="AK21" i="15"/>
  <c r="AJ44" i="15"/>
  <c r="AB25" i="15"/>
  <c r="AD23" i="15"/>
  <c r="AC38" i="15"/>
  <c r="AJ11" i="15"/>
  <c r="AD28" i="15"/>
  <c r="AF34" i="15"/>
  <c r="AJ21" i="15"/>
  <c r="AK13" i="15"/>
  <c r="AI30" i="15"/>
  <c r="AK27" i="15"/>
  <c r="AH33" i="15"/>
  <c r="AI53" i="15"/>
  <c r="AD48" i="15"/>
  <c r="AH9" i="15"/>
  <c r="AJ33" i="15"/>
  <c r="AH10" i="15"/>
  <c r="AG26" i="15"/>
  <c r="AK23" i="15"/>
  <c r="AC22" i="15"/>
  <c r="AG23" i="15"/>
  <c r="AB28" i="15"/>
  <c r="AE40" i="15"/>
  <c r="AL40" i="15"/>
  <c r="AK41" i="15"/>
  <c r="AL13" i="15"/>
  <c r="AH40" i="15"/>
  <c r="AL52" i="15"/>
  <c r="AD43" i="15"/>
  <c r="AA43" i="15"/>
  <c r="AF16" i="15"/>
  <c r="AB42" i="15"/>
  <c r="AF44" i="15"/>
  <c r="AK53" i="15"/>
  <c r="AI46" i="15"/>
  <c r="AA36" i="15"/>
  <c r="AC25" i="15"/>
  <c r="AL37" i="15"/>
  <c r="AE11" i="15"/>
  <c r="AL23" i="15"/>
  <c r="AC50" i="15"/>
  <c r="AJ48" i="15"/>
  <c r="AH20" i="15"/>
  <c r="AL9" i="15"/>
  <c r="AG43" i="15"/>
  <c r="AD22" i="15"/>
  <c r="AK31" i="15"/>
  <c r="AA45" i="15"/>
  <c r="AE15" i="15"/>
  <c r="AI39" i="15"/>
  <c r="AI35" i="15"/>
  <c r="AB44" i="15"/>
  <c r="AB10" i="15"/>
  <c r="AM10" i="15" s="1"/>
  <c r="AC18" i="15"/>
  <c r="AC20" i="15"/>
  <c r="AI9" i="15"/>
  <c r="AH41" i="15"/>
  <c r="AH11" i="15"/>
  <c r="AA35" i="15"/>
  <c r="AE41" i="15"/>
  <c r="AD37" i="15"/>
  <c r="AJ35" i="15"/>
  <c r="AC10" i="15"/>
  <c r="AI18" i="15"/>
  <c r="AJ41" i="15"/>
  <c r="AH52" i="15"/>
  <c r="AL53" i="15"/>
  <c r="AK20" i="15"/>
  <c r="AI45" i="15"/>
  <c r="AD45" i="15"/>
  <c r="AJ30" i="15"/>
  <c r="AE50" i="15"/>
  <c r="AG29" i="15"/>
  <c r="AE25" i="15"/>
  <c r="AL51" i="15"/>
  <c r="AL22" i="15"/>
  <c r="AG36" i="15"/>
  <c r="AB13" i="15"/>
  <c r="AF43" i="15"/>
  <c r="AA22" i="15"/>
  <c r="AK43" i="15"/>
  <c r="AK34" i="15"/>
  <c r="CX9" i="15" a="1"/>
  <c r="CX9" i="15" s="1"/>
  <c r="CX10" i="15" a="1"/>
  <c r="CX10" i="15" s="1"/>
  <c r="CX12" i="15" a="1"/>
  <c r="CX12" i="15" s="1"/>
  <c r="CX13" i="15" a="1"/>
  <c r="CX13" i="15" s="1"/>
  <c r="CX14" i="15" a="1"/>
  <c r="CX14" i="15" s="1"/>
  <c r="CX15" i="15" a="1"/>
  <c r="CX15" i="15" s="1"/>
  <c r="CX16" i="15" a="1"/>
  <c r="CX16" i="15" s="1"/>
  <c r="CX17" i="15" a="1"/>
  <c r="CX17" i="15" s="1"/>
  <c r="CX18" i="15" a="1"/>
  <c r="CX18" i="15" s="1"/>
  <c r="CX19" i="15" a="1"/>
  <c r="CX19" i="15" s="1"/>
  <c r="CX20" i="15" a="1"/>
  <c r="CX20" i="15" s="1"/>
  <c r="CX21" i="15" a="1"/>
  <c r="CX21" i="15" s="1"/>
  <c r="CX22" i="15" a="1"/>
  <c r="CX22" i="15" s="1"/>
  <c r="CX23" i="15" a="1"/>
  <c r="CX23" i="15" s="1"/>
  <c r="CX24" i="15" a="1"/>
  <c r="CX24" i="15" s="1"/>
  <c r="CX25" i="15" a="1"/>
  <c r="CX25" i="15" s="1"/>
  <c r="CX26" i="15" a="1"/>
  <c r="CX26" i="15" s="1"/>
  <c r="CX27" i="15" a="1"/>
  <c r="CX27" i="15" s="1"/>
  <c r="CX28" i="15" a="1"/>
  <c r="CX28" i="15" s="1"/>
  <c r="CX29" i="15" a="1"/>
  <c r="CX29" i="15" s="1"/>
  <c r="CX30" i="15" a="1"/>
  <c r="CX30" i="15" s="1"/>
  <c r="CX31" i="15" a="1"/>
  <c r="CX31" i="15" s="1"/>
  <c r="CX32" i="15" a="1"/>
  <c r="CX32" i="15" s="1"/>
  <c r="CX33" i="15" a="1"/>
  <c r="CX33" i="15" s="1"/>
  <c r="CX34" i="15" a="1"/>
  <c r="CX34" i="15" s="1"/>
  <c r="CX35" i="15" a="1"/>
  <c r="CX35" i="15" s="1"/>
  <c r="CX36" i="15" a="1"/>
  <c r="CX36" i="15" s="1"/>
  <c r="CX37" i="15" a="1"/>
  <c r="CX37" i="15" s="1"/>
  <c r="CX38" i="15" a="1"/>
  <c r="CX38" i="15" s="1"/>
  <c r="CX39" i="15" a="1"/>
  <c r="CX39" i="15" s="1"/>
  <c r="CX40" i="15" a="1"/>
  <c r="CX40" i="15" s="1"/>
  <c r="CX41" i="15" a="1"/>
  <c r="CX41" i="15" s="1"/>
  <c r="CX42" i="15" a="1"/>
  <c r="CX42" i="15" s="1"/>
  <c r="CX43" i="15" a="1"/>
  <c r="CX43" i="15" s="1"/>
  <c r="CX44" i="15" a="1"/>
  <c r="CX44" i="15" s="1"/>
  <c r="CX45" i="15" a="1"/>
  <c r="CX45" i="15" s="1"/>
  <c r="CX46" i="15" a="1"/>
  <c r="CX46" i="15" s="1"/>
  <c r="CX47" i="15" a="1"/>
  <c r="CX47" i="15" s="1"/>
  <c r="CX48" i="15" a="1"/>
  <c r="CX48" i="15" s="1"/>
  <c r="CX49" i="15" a="1"/>
  <c r="CX49" i="15" s="1"/>
  <c r="CX50" i="15" a="1"/>
  <c r="CX50" i="15" s="1"/>
  <c r="CX51" i="15" a="1"/>
  <c r="CX51" i="15" s="1"/>
  <c r="CX52" i="15" a="1"/>
  <c r="CX52" i="15" s="1"/>
  <c r="CX53" i="15" a="1"/>
  <c r="CX53" i="15" s="1"/>
  <c r="F10" i="8"/>
  <c r="F8" i="8"/>
  <c r="C10" i="8"/>
  <c r="C8" i="8"/>
  <c r="CZ9" i="15" l="1" a="1"/>
  <c r="CZ9" i="15" s="1"/>
  <c r="I54" i="13" a="1"/>
  <c r="I54" i="13" s="1"/>
  <c r="I53" i="13" a="1"/>
  <c r="I53" i="13" s="1"/>
  <c r="I52" i="13" a="1"/>
  <c r="I52" i="13" s="1"/>
  <c r="I51" i="13" a="1"/>
  <c r="I51" i="13" s="1"/>
  <c r="I50" i="13" a="1"/>
  <c r="I50" i="13" s="1"/>
  <c r="CX11" i="15" s="1" a="1"/>
  <c r="CX11" i="15" s="1"/>
  <c r="CZ10" i="15" a="1"/>
  <c r="CZ10" i="15" s="1"/>
  <c r="CZ11" i="15" a="1"/>
  <c r="CZ11" i="15" s="1"/>
  <c r="CZ12" i="15" a="1"/>
  <c r="CZ12" i="15" s="1"/>
  <c r="CZ13" i="15" a="1"/>
  <c r="CZ13" i="15" s="1"/>
  <c r="CZ14" i="15" a="1"/>
  <c r="CZ14" i="15" s="1"/>
  <c r="CZ15" i="15" a="1"/>
  <c r="CZ15" i="15" s="1"/>
  <c r="CZ16" i="15" a="1"/>
  <c r="CZ16" i="15" s="1"/>
  <c r="CZ17" i="15" a="1"/>
  <c r="CZ17" i="15" s="1"/>
  <c r="CZ18" i="15" a="1"/>
  <c r="CZ18" i="15" s="1"/>
  <c r="CZ19" i="15" a="1"/>
  <c r="CZ19" i="15" s="1"/>
  <c r="CZ20" i="15" a="1"/>
  <c r="CZ20" i="15" s="1"/>
  <c r="CZ21" i="15" a="1"/>
  <c r="CZ21" i="15" s="1"/>
  <c r="CZ22" i="15" a="1"/>
  <c r="CZ22" i="15" s="1"/>
  <c r="CZ23" i="15" a="1"/>
  <c r="CZ23" i="15" s="1"/>
  <c r="CZ24" i="15" a="1"/>
  <c r="CZ24" i="15" s="1"/>
  <c r="CZ25" i="15" a="1"/>
  <c r="CZ25" i="15" s="1"/>
  <c r="CZ26" i="15" a="1"/>
  <c r="CZ26" i="15" s="1"/>
  <c r="CZ27" i="15" a="1"/>
  <c r="CZ27" i="15" s="1"/>
  <c r="CZ28" i="15" a="1"/>
  <c r="CZ28" i="15" s="1"/>
  <c r="CZ29" i="15" a="1"/>
  <c r="CZ29" i="15" s="1"/>
  <c r="CZ30" i="15" a="1"/>
  <c r="CZ30" i="15" s="1"/>
  <c r="CZ31" i="15" a="1"/>
  <c r="CZ31" i="15" s="1"/>
  <c r="CZ32" i="15" a="1"/>
  <c r="CZ32" i="15" s="1"/>
  <c r="CZ33" i="15" a="1"/>
  <c r="CZ33" i="15" s="1"/>
  <c r="CZ34" i="15" a="1"/>
  <c r="CZ34" i="15" s="1"/>
  <c r="CZ35" i="15" a="1"/>
  <c r="CZ35" i="15" s="1"/>
  <c r="CZ36" i="15" a="1"/>
  <c r="CZ36" i="15" s="1"/>
  <c r="CZ37" i="15" a="1"/>
  <c r="CZ37" i="15" s="1"/>
  <c r="CZ38" i="15" a="1"/>
  <c r="CZ38" i="15" s="1"/>
  <c r="CZ39" i="15" a="1"/>
  <c r="CZ39" i="15" s="1"/>
  <c r="CZ40" i="15" a="1"/>
  <c r="CZ40" i="15" s="1"/>
  <c r="CZ41" i="15" a="1"/>
  <c r="CZ41" i="15" s="1"/>
  <c r="CZ42" i="15" a="1"/>
  <c r="CZ42" i="15" s="1"/>
  <c r="CZ43" i="15" a="1"/>
  <c r="CZ43" i="15" s="1"/>
  <c r="CZ44" i="15" a="1"/>
  <c r="CZ44" i="15" s="1"/>
  <c r="CZ45" i="15" a="1"/>
  <c r="CZ45" i="15" s="1"/>
  <c r="CZ46" i="15" a="1"/>
  <c r="CZ46" i="15" s="1"/>
  <c r="CZ47" i="15" a="1"/>
  <c r="CZ47" i="15" s="1"/>
  <c r="CZ48" i="15" a="1"/>
  <c r="CZ48" i="15" s="1"/>
  <c r="CZ49" i="15" a="1"/>
  <c r="CZ49" i="15" s="1"/>
  <c r="CZ50" i="15" a="1"/>
  <c r="CZ50" i="15" s="1"/>
  <c r="CZ51" i="15" a="1"/>
  <c r="CZ51" i="15" s="1"/>
  <c r="CZ52" i="15" a="1"/>
  <c r="CZ52" i="15" s="1"/>
  <c r="CZ53" i="15" a="1"/>
  <c r="CZ53" i="15" s="1"/>
  <c r="BH26" i="15"/>
  <c r="BH27" i="15"/>
  <c r="BH28" i="15"/>
  <c r="BH29" i="15"/>
  <c r="BH30" i="15"/>
  <c r="BH31" i="15"/>
  <c r="BH32" i="15"/>
  <c r="BH33" i="15"/>
  <c r="BH34" i="15"/>
  <c r="BH35" i="15"/>
  <c r="BH36" i="15"/>
  <c r="BH37" i="15"/>
  <c r="BH38" i="15"/>
  <c r="BH39" i="15"/>
  <c r="BH40" i="15"/>
  <c r="BH41" i="15"/>
  <c r="BH42" i="15"/>
  <c r="BH43" i="15"/>
  <c r="BH44" i="15"/>
  <c r="BH45" i="15"/>
  <c r="BH46" i="15"/>
  <c r="BH47" i="15"/>
  <c r="BH48" i="15"/>
  <c r="BH49" i="15"/>
  <c r="BH50" i="15"/>
  <c r="BH51" i="15"/>
  <c r="BH52" i="15"/>
  <c r="BH53" i="15"/>
  <c r="DA9" i="15" a="1"/>
  <c r="DA9" i="15" s="1"/>
  <c r="DA10" i="15" a="1"/>
  <c r="DA10" i="15" s="1"/>
  <c r="DA11" i="15" a="1"/>
  <c r="DA11" i="15" s="1"/>
  <c r="DA12" i="15" a="1"/>
  <c r="DA12" i="15" s="1"/>
  <c r="DA13" i="15" a="1"/>
  <c r="DA13" i="15" s="1"/>
  <c r="DA14" i="15" a="1"/>
  <c r="DA14" i="15" s="1"/>
  <c r="DA15" i="15" a="1"/>
  <c r="DA15" i="15" s="1"/>
  <c r="DA16" i="15" a="1"/>
  <c r="DA16" i="15" s="1"/>
  <c r="DA17" i="15" a="1"/>
  <c r="DA17" i="15" s="1"/>
  <c r="DA18" i="15" a="1"/>
  <c r="DA18" i="15" s="1"/>
  <c r="DA19" i="15" a="1"/>
  <c r="DA19" i="15" s="1"/>
  <c r="DA20" i="15" a="1"/>
  <c r="DA20" i="15" s="1"/>
  <c r="DA21" i="15" a="1"/>
  <c r="DA21" i="15" s="1"/>
  <c r="DA22" i="15" a="1"/>
  <c r="DA22" i="15" s="1"/>
  <c r="DA23" i="15" a="1"/>
  <c r="DA23" i="15" s="1"/>
  <c r="DA24" i="15" a="1"/>
  <c r="DA24" i="15" s="1"/>
  <c r="DA25" i="15" a="1"/>
  <c r="DA25" i="15" s="1"/>
  <c r="DA26" i="15" a="1"/>
  <c r="DA26" i="15" s="1"/>
  <c r="DA27" i="15" a="1"/>
  <c r="DA27" i="15" s="1"/>
  <c r="DA28" i="15" a="1"/>
  <c r="DA28" i="15" s="1"/>
  <c r="DA29" i="15" a="1"/>
  <c r="DA29" i="15" s="1"/>
  <c r="DA30" i="15" a="1"/>
  <c r="DA30" i="15" s="1"/>
  <c r="DA31" i="15" a="1"/>
  <c r="DA31" i="15" s="1"/>
  <c r="DA32" i="15" a="1"/>
  <c r="DA32" i="15" s="1"/>
  <c r="DA33" i="15" a="1"/>
  <c r="DA33" i="15" s="1"/>
  <c r="DA34" i="15" a="1"/>
  <c r="DA34" i="15" s="1"/>
  <c r="DA35" i="15" a="1"/>
  <c r="DA35" i="15" s="1"/>
  <c r="DA36" i="15" a="1"/>
  <c r="DA36" i="15" s="1"/>
  <c r="DA37" i="15" a="1"/>
  <c r="DA37" i="15" s="1"/>
  <c r="DA38" i="15" a="1"/>
  <c r="DA38" i="15" s="1"/>
  <c r="DA39" i="15" a="1"/>
  <c r="DA39" i="15" s="1"/>
  <c r="DA40" i="15" a="1"/>
  <c r="DA40" i="15" s="1"/>
  <c r="DA41" i="15" a="1"/>
  <c r="DA41" i="15" s="1"/>
  <c r="DA42" i="15" a="1"/>
  <c r="DA42" i="15" s="1"/>
  <c r="DA43" i="15" a="1"/>
  <c r="DA43" i="15" s="1"/>
  <c r="DA44" i="15" a="1"/>
  <c r="DA44" i="15" s="1"/>
  <c r="DA45" i="15" a="1"/>
  <c r="DA45" i="15" s="1"/>
  <c r="DA46" i="15" a="1"/>
  <c r="DA46" i="15" s="1"/>
  <c r="DA47" i="15" a="1"/>
  <c r="DA47" i="15" s="1"/>
  <c r="DA48" i="15" a="1"/>
  <c r="DA48" i="15" s="1"/>
  <c r="DA49" i="15" a="1"/>
  <c r="DA49" i="15" s="1"/>
  <c r="DA50" i="15" a="1"/>
  <c r="DA50" i="15" s="1"/>
  <c r="DA51" i="15" a="1"/>
  <c r="DA51" i="15" s="1"/>
  <c r="DA52" i="15" a="1"/>
  <c r="DA52" i="15" s="1"/>
  <c r="DA53" i="15" a="1"/>
  <c r="DA53" i="15" s="1"/>
  <c r="DA54" i="15" a="1"/>
  <c r="DA54" i="15" s="1"/>
  <c r="CT12" i="15" l="1"/>
  <c r="CT13" i="15"/>
  <c r="CT14" i="15"/>
  <c r="CW14" i="15"/>
  <c r="CT15" i="15"/>
  <c r="CW15" i="15"/>
  <c r="CT16" i="15"/>
  <c r="CW16" i="15"/>
  <c r="CT17" i="15"/>
  <c r="CW17" i="15"/>
  <c r="CT18" i="15"/>
  <c r="CV18" i="15"/>
  <c r="CW18" i="15"/>
  <c r="CT19" i="15"/>
  <c r="CV19" i="15"/>
  <c r="CW19" i="15"/>
  <c r="CT20" i="15"/>
  <c r="CV20" i="15"/>
  <c r="CW20" i="15"/>
  <c r="CT21" i="15"/>
  <c r="CU21" i="15"/>
  <c r="CW21" i="15"/>
  <c r="CT22" i="15"/>
  <c r="CU22" i="15"/>
  <c r="CV22" i="15"/>
  <c r="CW22" i="15"/>
  <c r="CT23" i="15"/>
  <c r="CU23" i="15"/>
  <c r="CV23" i="15"/>
  <c r="CW23" i="15"/>
  <c r="CT24" i="15"/>
  <c r="CU24" i="15"/>
  <c r="CV24" i="15"/>
  <c r="CW24" i="15"/>
  <c r="CT25" i="15"/>
  <c r="CU25" i="15"/>
  <c r="CV25" i="15"/>
  <c r="CW25" i="15"/>
  <c r="CS26" i="15"/>
  <c r="CT26" i="15"/>
  <c r="CU26" i="15"/>
  <c r="CV26" i="15"/>
  <c r="CW26" i="15"/>
  <c r="CS27" i="15"/>
  <c r="CT27" i="15"/>
  <c r="CU27" i="15"/>
  <c r="CV27" i="15"/>
  <c r="CW27" i="15"/>
  <c r="CS28" i="15"/>
  <c r="CT28" i="15"/>
  <c r="CU28" i="15"/>
  <c r="CV28" i="15"/>
  <c r="CW28" i="15"/>
  <c r="CS29" i="15"/>
  <c r="CT29" i="15"/>
  <c r="CU29" i="15"/>
  <c r="CV29" i="15"/>
  <c r="CW29" i="15"/>
  <c r="CS30" i="15"/>
  <c r="CT30" i="15"/>
  <c r="CU30" i="15"/>
  <c r="CV30" i="15"/>
  <c r="CW30" i="15"/>
  <c r="CS31" i="15"/>
  <c r="CT31" i="15"/>
  <c r="CU31" i="15"/>
  <c r="CV31" i="15"/>
  <c r="CW31" i="15"/>
  <c r="CS32" i="15"/>
  <c r="CT32" i="15"/>
  <c r="CU32" i="15"/>
  <c r="CV32" i="15"/>
  <c r="CW32" i="15"/>
  <c r="CS33" i="15"/>
  <c r="CT33" i="15"/>
  <c r="CU33" i="15"/>
  <c r="CV33" i="15"/>
  <c r="CW33" i="15"/>
  <c r="CS34" i="15"/>
  <c r="CT34" i="15"/>
  <c r="CU34" i="15"/>
  <c r="CV34" i="15"/>
  <c r="CW34" i="15"/>
  <c r="CS35" i="15"/>
  <c r="CT35" i="15"/>
  <c r="CU35" i="15"/>
  <c r="CV35" i="15"/>
  <c r="CW35" i="15"/>
  <c r="CS36" i="15"/>
  <c r="CT36" i="15"/>
  <c r="CU36" i="15"/>
  <c r="CV36" i="15"/>
  <c r="CW36" i="15"/>
  <c r="CS37" i="15"/>
  <c r="CT37" i="15"/>
  <c r="CU37" i="15"/>
  <c r="CV37" i="15"/>
  <c r="CW37" i="15"/>
  <c r="CS38" i="15"/>
  <c r="CT38" i="15"/>
  <c r="CU38" i="15"/>
  <c r="CV38" i="15"/>
  <c r="CW38" i="15"/>
  <c r="CS39" i="15"/>
  <c r="CT39" i="15"/>
  <c r="CU39" i="15"/>
  <c r="CV39" i="15"/>
  <c r="CW39" i="15"/>
  <c r="CS40" i="15"/>
  <c r="CT40" i="15"/>
  <c r="CU40" i="15"/>
  <c r="CV40" i="15"/>
  <c r="CW40" i="15"/>
  <c r="CS41" i="15"/>
  <c r="CT41" i="15"/>
  <c r="CU41" i="15"/>
  <c r="CV41" i="15"/>
  <c r="CW41" i="15"/>
  <c r="CS42" i="15"/>
  <c r="CT42" i="15"/>
  <c r="CU42" i="15"/>
  <c r="CV42" i="15"/>
  <c r="CW42" i="15"/>
  <c r="CS43" i="15"/>
  <c r="CT43" i="15"/>
  <c r="CU43" i="15"/>
  <c r="CV43" i="15"/>
  <c r="CW43" i="15"/>
  <c r="CS44" i="15"/>
  <c r="CT44" i="15"/>
  <c r="CU44" i="15"/>
  <c r="CV44" i="15"/>
  <c r="CW44" i="15"/>
  <c r="CS45" i="15"/>
  <c r="CT45" i="15"/>
  <c r="CU45" i="15"/>
  <c r="CV45" i="15"/>
  <c r="CW45" i="15"/>
  <c r="CS46" i="15"/>
  <c r="CT46" i="15"/>
  <c r="CU46" i="15"/>
  <c r="CV46" i="15"/>
  <c r="CW46" i="15"/>
  <c r="CS47" i="15"/>
  <c r="CT47" i="15"/>
  <c r="CU47" i="15"/>
  <c r="CV47" i="15"/>
  <c r="CW47" i="15"/>
  <c r="CS48" i="15"/>
  <c r="CT48" i="15"/>
  <c r="CU48" i="15"/>
  <c r="CV48" i="15"/>
  <c r="CW48" i="15"/>
  <c r="CS49" i="15"/>
  <c r="CT49" i="15"/>
  <c r="CU49" i="15"/>
  <c r="CV49" i="15"/>
  <c r="CW49" i="15"/>
  <c r="CS50" i="15"/>
  <c r="CT50" i="15"/>
  <c r="CU50" i="15"/>
  <c r="CV50" i="15"/>
  <c r="CW50" i="15"/>
  <c r="CS51" i="15"/>
  <c r="CT51" i="15"/>
  <c r="CU51" i="15"/>
  <c r="CV51" i="15"/>
  <c r="CW51" i="15"/>
  <c r="CS52" i="15"/>
  <c r="CT52" i="15"/>
  <c r="CU52" i="15"/>
  <c r="CV52" i="15"/>
  <c r="CW52" i="15"/>
  <c r="CS53" i="15"/>
  <c r="CT53" i="15"/>
  <c r="CU53" i="15"/>
  <c r="CV53" i="15"/>
  <c r="CW53" i="15"/>
  <c r="CM9" i="15"/>
  <c r="CL10" i="15"/>
  <c r="CM11" i="15"/>
  <c r="CJ12" i="15"/>
  <c r="CO12" i="15"/>
  <c r="CJ13" i="15"/>
  <c r="CO13" i="15"/>
  <c r="CJ14" i="15"/>
  <c r="CL14" i="15"/>
  <c r="CM14" i="15"/>
  <c r="CO14" i="15"/>
  <c r="CJ15" i="15"/>
  <c r="CM15" i="15"/>
  <c r="CO15" i="15"/>
  <c r="CJ16" i="15"/>
  <c r="CL16" i="15"/>
  <c r="CM16" i="15"/>
  <c r="CO16" i="15"/>
  <c r="CJ17" i="15"/>
  <c r="CM17" i="15"/>
  <c r="CO17" i="15"/>
  <c r="CJ18" i="15"/>
  <c r="CL18" i="15"/>
  <c r="CM18" i="15"/>
  <c r="CO18" i="15"/>
  <c r="CJ19" i="15"/>
  <c r="CL19" i="15"/>
  <c r="CM19" i="15"/>
  <c r="CO19" i="15"/>
  <c r="CJ20" i="15"/>
  <c r="CL20" i="15"/>
  <c r="CM20" i="15"/>
  <c r="CO20" i="15"/>
  <c r="CJ21" i="15"/>
  <c r="CK21" i="15"/>
  <c r="CM21" i="15"/>
  <c r="CO21" i="15"/>
  <c r="CP21" i="15"/>
  <c r="CJ22" i="15"/>
  <c r="CK22" i="15"/>
  <c r="CL22" i="15"/>
  <c r="CM22" i="15"/>
  <c r="CO22" i="15"/>
  <c r="CP22" i="15"/>
  <c r="CJ23" i="15"/>
  <c r="CK23" i="15"/>
  <c r="CL23" i="15"/>
  <c r="CM23" i="15"/>
  <c r="CO23" i="15"/>
  <c r="CP23" i="15"/>
  <c r="CJ24" i="15"/>
  <c r="CK24" i="15"/>
  <c r="CL24" i="15"/>
  <c r="CM24" i="15"/>
  <c r="CO24" i="15"/>
  <c r="CP24" i="15"/>
  <c r="CJ25" i="15"/>
  <c r="CK25" i="15"/>
  <c r="CL25" i="15"/>
  <c r="CM25" i="15"/>
  <c r="CO25" i="15"/>
  <c r="CP25" i="15"/>
  <c r="CJ26" i="15"/>
  <c r="CK26" i="15"/>
  <c r="CL26" i="15"/>
  <c r="CM26" i="15"/>
  <c r="CN26" i="15"/>
  <c r="CO26" i="15"/>
  <c r="CP26" i="15"/>
  <c r="CJ27" i="15"/>
  <c r="CK27" i="15"/>
  <c r="CL27" i="15"/>
  <c r="CM27" i="15"/>
  <c r="CN27" i="15"/>
  <c r="CO27" i="15"/>
  <c r="CP27" i="15"/>
  <c r="CJ28" i="15"/>
  <c r="CK28" i="15"/>
  <c r="CL28" i="15"/>
  <c r="CM28" i="15"/>
  <c r="CN28" i="15"/>
  <c r="CO28" i="15"/>
  <c r="CP28" i="15"/>
  <c r="CJ29" i="15"/>
  <c r="CK29" i="15"/>
  <c r="CL29" i="15"/>
  <c r="CM29" i="15"/>
  <c r="CN29" i="15"/>
  <c r="CO29" i="15"/>
  <c r="CP29" i="15"/>
  <c r="CJ30" i="15"/>
  <c r="CK30" i="15"/>
  <c r="CL30" i="15"/>
  <c r="CM30" i="15"/>
  <c r="CN30" i="15"/>
  <c r="CO30" i="15"/>
  <c r="CP30" i="15"/>
  <c r="CJ31" i="15"/>
  <c r="CK31" i="15"/>
  <c r="CL31" i="15"/>
  <c r="CM31" i="15"/>
  <c r="CN31" i="15"/>
  <c r="CO31" i="15"/>
  <c r="CP31" i="15"/>
  <c r="CJ32" i="15"/>
  <c r="CK32" i="15"/>
  <c r="CL32" i="15"/>
  <c r="CM32" i="15"/>
  <c r="CN32" i="15"/>
  <c r="CO32" i="15"/>
  <c r="CP32" i="15"/>
  <c r="CJ33" i="15"/>
  <c r="CK33" i="15"/>
  <c r="CL33" i="15"/>
  <c r="CM33" i="15"/>
  <c r="CN33" i="15"/>
  <c r="CO33" i="15"/>
  <c r="CP33" i="15"/>
  <c r="CJ34" i="15"/>
  <c r="CK34" i="15"/>
  <c r="CL34" i="15"/>
  <c r="CM34" i="15"/>
  <c r="CN34" i="15"/>
  <c r="CO34" i="15"/>
  <c r="CP34" i="15"/>
  <c r="CJ35" i="15"/>
  <c r="CK35" i="15"/>
  <c r="CL35" i="15"/>
  <c r="CM35" i="15"/>
  <c r="CN35" i="15"/>
  <c r="CO35" i="15"/>
  <c r="CP35" i="15"/>
  <c r="CJ36" i="15"/>
  <c r="CK36" i="15"/>
  <c r="CL36" i="15"/>
  <c r="CM36" i="15"/>
  <c r="CN36" i="15"/>
  <c r="CO36" i="15"/>
  <c r="CP36" i="15"/>
  <c r="CJ37" i="15"/>
  <c r="CK37" i="15"/>
  <c r="CL37" i="15"/>
  <c r="CM37" i="15"/>
  <c r="CN37" i="15"/>
  <c r="CO37" i="15"/>
  <c r="CP37" i="15"/>
  <c r="CJ38" i="15"/>
  <c r="CK38" i="15"/>
  <c r="CL38" i="15"/>
  <c r="CM38" i="15"/>
  <c r="CN38" i="15"/>
  <c r="CO38" i="15"/>
  <c r="CP38" i="15"/>
  <c r="CJ39" i="15"/>
  <c r="CK39" i="15"/>
  <c r="CL39" i="15"/>
  <c r="CM39" i="15"/>
  <c r="CN39" i="15"/>
  <c r="CO39" i="15"/>
  <c r="CP39" i="15"/>
  <c r="CJ40" i="15"/>
  <c r="CK40" i="15"/>
  <c r="CL40" i="15"/>
  <c r="CM40" i="15"/>
  <c r="CN40" i="15"/>
  <c r="CO40" i="15"/>
  <c r="CP40" i="15"/>
  <c r="CJ41" i="15"/>
  <c r="CK41" i="15"/>
  <c r="CL41" i="15"/>
  <c r="CM41" i="15"/>
  <c r="CN41" i="15"/>
  <c r="CO41" i="15"/>
  <c r="CP41" i="15"/>
  <c r="CJ42" i="15"/>
  <c r="CK42" i="15"/>
  <c r="CL42" i="15"/>
  <c r="CM42" i="15"/>
  <c r="CN42" i="15"/>
  <c r="CO42" i="15"/>
  <c r="CP42" i="15"/>
  <c r="CJ43" i="15"/>
  <c r="CK43" i="15"/>
  <c r="CL43" i="15"/>
  <c r="CM43" i="15"/>
  <c r="CN43" i="15"/>
  <c r="CO43" i="15"/>
  <c r="CP43" i="15"/>
  <c r="CJ44" i="15"/>
  <c r="CK44" i="15"/>
  <c r="CL44" i="15"/>
  <c r="CM44" i="15"/>
  <c r="CN44" i="15"/>
  <c r="CO44" i="15"/>
  <c r="CP44" i="15"/>
  <c r="CJ45" i="15"/>
  <c r="CK45" i="15"/>
  <c r="CL45" i="15"/>
  <c r="CM45" i="15"/>
  <c r="CN45" i="15"/>
  <c r="CO45" i="15"/>
  <c r="CP45" i="15"/>
  <c r="CJ46" i="15"/>
  <c r="CK46" i="15"/>
  <c r="CL46" i="15"/>
  <c r="CM46" i="15"/>
  <c r="CN46" i="15"/>
  <c r="CO46" i="15"/>
  <c r="CP46" i="15"/>
  <c r="CJ47" i="15"/>
  <c r="CK47" i="15"/>
  <c r="CL47" i="15"/>
  <c r="CM47" i="15"/>
  <c r="CN47" i="15"/>
  <c r="CO47" i="15"/>
  <c r="CP47" i="15"/>
  <c r="CJ48" i="15"/>
  <c r="CK48" i="15"/>
  <c r="CL48" i="15"/>
  <c r="CM48" i="15"/>
  <c r="CN48" i="15"/>
  <c r="CO48" i="15"/>
  <c r="CP48" i="15"/>
  <c r="CJ49" i="15"/>
  <c r="CK49" i="15"/>
  <c r="CL49" i="15"/>
  <c r="CM49" i="15"/>
  <c r="CN49" i="15"/>
  <c r="CO49" i="15"/>
  <c r="CP49" i="15"/>
  <c r="CJ50" i="15"/>
  <c r="CK50" i="15"/>
  <c r="CL50" i="15"/>
  <c r="CM50" i="15"/>
  <c r="CN50" i="15"/>
  <c r="CO50" i="15"/>
  <c r="CP50" i="15"/>
  <c r="CJ51" i="15"/>
  <c r="CK51" i="15"/>
  <c r="CL51" i="15"/>
  <c r="CM51" i="15"/>
  <c r="CN51" i="15"/>
  <c r="CO51" i="15"/>
  <c r="CP51" i="15"/>
  <c r="CJ52" i="15"/>
  <c r="CK52" i="15"/>
  <c r="CL52" i="15"/>
  <c r="CM52" i="15"/>
  <c r="CN52" i="15"/>
  <c r="CO52" i="15"/>
  <c r="CP52" i="15"/>
  <c r="CJ53" i="15"/>
  <c r="CK53" i="15"/>
  <c r="CL53" i="15"/>
  <c r="CM53" i="15"/>
  <c r="CN53" i="15"/>
  <c r="CO53" i="15"/>
  <c r="CP53" i="15"/>
  <c r="CI26" i="15"/>
  <c r="CI27" i="15"/>
  <c r="CI28" i="15"/>
  <c r="CI29" i="15"/>
  <c r="CI30" i="15"/>
  <c r="CI31" i="15"/>
  <c r="CI32" i="15"/>
  <c r="CI33" i="15"/>
  <c r="CI34" i="15"/>
  <c r="CI35" i="15"/>
  <c r="CI36" i="15"/>
  <c r="CI37" i="15"/>
  <c r="CI38" i="15"/>
  <c r="CI39" i="15"/>
  <c r="CI40" i="15"/>
  <c r="CI41" i="15"/>
  <c r="CI42" i="15"/>
  <c r="CI43" i="15"/>
  <c r="CI44" i="15"/>
  <c r="CI45" i="15"/>
  <c r="CI46" i="15"/>
  <c r="CI47" i="15"/>
  <c r="CI48" i="15"/>
  <c r="CI49" i="15"/>
  <c r="CI50" i="15"/>
  <c r="CI51" i="15"/>
  <c r="CI52" i="15"/>
  <c r="CI53" i="15"/>
  <c r="CH9" i="15"/>
  <c r="CG10" i="15"/>
  <c r="CH11" i="15"/>
  <c r="CE12" i="15"/>
  <c r="CE13" i="15"/>
  <c r="CE14" i="15"/>
  <c r="CG14" i="15"/>
  <c r="CH14" i="15"/>
  <c r="CE15" i="15"/>
  <c r="CH15" i="15"/>
  <c r="CE16" i="15"/>
  <c r="CG16" i="15"/>
  <c r="CH16" i="15"/>
  <c r="CE17" i="15"/>
  <c r="CH17" i="15"/>
  <c r="CE18" i="15"/>
  <c r="CG18" i="15"/>
  <c r="CH18" i="15"/>
  <c r="CE19" i="15"/>
  <c r="CG19" i="15"/>
  <c r="CH19" i="15"/>
  <c r="CE20" i="15"/>
  <c r="CG20" i="15"/>
  <c r="CH20" i="15"/>
  <c r="CE21" i="15"/>
  <c r="CF21" i="15"/>
  <c r="CH21" i="15"/>
  <c r="CE22" i="15"/>
  <c r="CF22" i="15"/>
  <c r="CG22" i="15"/>
  <c r="CH22" i="15"/>
  <c r="CE23" i="15"/>
  <c r="CF23" i="15"/>
  <c r="CG23" i="15"/>
  <c r="CH23" i="15"/>
  <c r="CE24" i="15"/>
  <c r="CF24" i="15"/>
  <c r="CG24" i="15"/>
  <c r="CH24" i="15"/>
  <c r="CE25" i="15"/>
  <c r="CF25" i="15"/>
  <c r="CG25" i="15"/>
  <c r="CH25" i="15"/>
  <c r="CE26" i="15"/>
  <c r="CF26" i="15"/>
  <c r="CG26" i="15"/>
  <c r="CH26" i="15"/>
  <c r="CE27" i="15"/>
  <c r="CF27" i="15"/>
  <c r="CG27" i="15"/>
  <c r="CH27" i="15"/>
  <c r="CE28" i="15"/>
  <c r="CF28" i="15"/>
  <c r="CG28" i="15"/>
  <c r="CH28" i="15"/>
  <c r="CE29" i="15"/>
  <c r="CF29" i="15"/>
  <c r="CG29" i="15"/>
  <c r="CH29" i="15"/>
  <c r="CE30" i="15"/>
  <c r="CF30" i="15"/>
  <c r="CG30" i="15"/>
  <c r="CH30" i="15"/>
  <c r="CE31" i="15"/>
  <c r="CF31" i="15"/>
  <c r="CG31" i="15"/>
  <c r="CH31" i="15"/>
  <c r="CE32" i="15"/>
  <c r="CF32" i="15"/>
  <c r="CG32" i="15"/>
  <c r="CH32" i="15"/>
  <c r="CE33" i="15"/>
  <c r="CF33" i="15"/>
  <c r="CG33" i="15"/>
  <c r="CH33" i="15"/>
  <c r="CE34" i="15"/>
  <c r="CF34" i="15"/>
  <c r="CG34" i="15"/>
  <c r="CH34" i="15"/>
  <c r="CE35" i="15"/>
  <c r="CF35" i="15"/>
  <c r="CG35" i="15"/>
  <c r="CH35" i="15"/>
  <c r="CE36" i="15"/>
  <c r="CF36" i="15"/>
  <c r="CG36" i="15"/>
  <c r="CH36" i="15"/>
  <c r="CE37" i="15"/>
  <c r="CF37" i="15"/>
  <c r="CG37" i="15"/>
  <c r="CH37" i="15"/>
  <c r="CE38" i="15"/>
  <c r="CF38" i="15"/>
  <c r="CG38" i="15"/>
  <c r="CH38" i="15"/>
  <c r="CE39" i="15"/>
  <c r="CF39" i="15"/>
  <c r="CG39" i="15"/>
  <c r="CH39" i="15"/>
  <c r="CE40" i="15"/>
  <c r="CF40" i="15"/>
  <c r="CG40" i="15"/>
  <c r="CH40" i="15"/>
  <c r="CE41" i="15"/>
  <c r="CF41" i="15"/>
  <c r="CG41" i="15"/>
  <c r="CH41" i="15"/>
  <c r="CE42" i="15"/>
  <c r="CF42" i="15"/>
  <c r="CG42" i="15"/>
  <c r="CH42" i="15"/>
  <c r="CE43" i="15"/>
  <c r="CF43" i="15"/>
  <c r="CG43" i="15"/>
  <c r="CH43" i="15"/>
  <c r="CE44" i="15"/>
  <c r="CF44" i="15"/>
  <c r="CG44" i="15"/>
  <c r="CH44" i="15"/>
  <c r="CE45" i="15"/>
  <c r="CF45" i="15"/>
  <c r="CG45" i="15"/>
  <c r="CH45" i="15"/>
  <c r="CE46" i="15"/>
  <c r="CF46" i="15"/>
  <c r="CG46" i="15"/>
  <c r="CH46" i="15"/>
  <c r="CE47" i="15"/>
  <c r="CF47" i="15"/>
  <c r="CG47" i="15"/>
  <c r="CH47" i="15"/>
  <c r="CE48" i="15"/>
  <c r="CF48" i="15"/>
  <c r="CG48" i="15"/>
  <c r="CH48" i="15"/>
  <c r="CE49" i="15"/>
  <c r="CF49" i="15"/>
  <c r="CG49" i="15"/>
  <c r="CH49" i="15"/>
  <c r="CE50" i="15"/>
  <c r="CF50" i="15"/>
  <c r="CG50" i="15"/>
  <c r="CH50" i="15"/>
  <c r="CE51" i="15"/>
  <c r="CF51" i="15"/>
  <c r="CG51" i="15"/>
  <c r="CH51" i="15"/>
  <c r="CE52" i="15"/>
  <c r="CF52" i="15"/>
  <c r="CG52" i="15"/>
  <c r="CH52" i="15"/>
  <c r="CE53" i="15"/>
  <c r="CF53" i="15"/>
  <c r="CG53" i="15"/>
  <c r="CH53" i="15"/>
  <c r="CD26" i="15"/>
  <c r="CD27" i="15"/>
  <c r="CD28" i="15"/>
  <c r="CD29" i="15"/>
  <c r="CD30" i="15"/>
  <c r="CD31" i="15"/>
  <c r="CD32" i="15"/>
  <c r="CD33" i="15"/>
  <c r="CD34" i="15"/>
  <c r="CD35" i="15"/>
  <c r="CD36" i="15"/>
  <c r="CD37" i="15"/>
  <c r="CD38" i="15"/>
  <c r="CD39" i="15"/>
  <c r="CD40" i="15"/>
  <c r="CD41" i="15"/>
  <c r="CD42" i="15"/>
  <c r="CD43" i="15"/>
  <c r="CD44" i="15"/>
  <c r="CD45" i="15"/>
  <c r="CD46" i="15"/>
  <c r="CD47" i="15"/>
  <c r="CD48" i="15"/>
  <c r="CD49" i="15"/>
  <c r="CD50" i="15"/>
  <c r="CD51" i="15"/>
  <c r="CD52" i="15"/>
  <c r="CD53" i="15"/>
  <c r="BZ11" i="15"/>
  <c r="BZ12" i="15"/>
  <c r="CA12" i="15"/>
  <c r="BZ13" i="15"/>
  <c r="CB13" i="15"/>
  <c r="BZ14" i="15"/>
  <c r="CA14" i="15"/>
  <c r="CC14" i="15"/>
  <c r="BZ15" i="15"/>
  <c r="CA15" i="15"/>
  <c r="CB15" i="15"/>
  <c r="CC15" i="15"/>
  <c r="BZ16" i="15"/>
  <c r="CA16" i="15"/>
  <c r="CC16" i="15"/>
  <c r="BZ17" i="15"/>
  <c r="CA17" i="15"/>
  <c r="CB17" i="15"/>
  <c r="CC17" i="15"/>
  <c r="BZ18" i="15"/>
  <c r="CA18" i="15"/>
  <c r="CB18" i="15"/>
  <c r="CC18" i="15"/>
  <c r="BZ19" i="15"/>
  <c r="CA19" i="15"/>
  <c r="CB19" i="15"/>
  <c r="CC19" i="15"/>
  <c r="BZ20" i="15"/>
  <c r="CA20" i="15"/>
  <c r="CB20" i="15"/>
  <c r="CC20" i="15"/>
  <c r="BY21" i="15"/>
  <c r="BZ21" i="15"/>
  <c r="CA21" i="15"/>
  <c r="CB21" i="15"/>
  <c r="CC21" i="15"/>
  <c r="BY22" i="15"/>
  <c r="BZ22" i="15"/>
  <c r="CA22" i="15"/>
  <c r="CB22" i="15"/>
  <c r="CC22" i="15"/>
  <c r="BY23" i="15"/>
  <c r="BZ23" i="15"/>
  <c r="CA23" i="15"/>
  <c r="CB23" i="15"/>
  <c r="CC23" i="15"/>
  <c r="BY24" i="15"/>
  <c r="BZ24" i="15"/>
  <c r="CA24" i="15"/>
  <c r="CB24" i="15"/>
  <c r="CC24" i="15"/>
  <c r="BY25" i="15"/>
  <c r="BZ25" i="15"/>
  <c r="CA25" i="15"/>
  <c r="CB25" i="15"/>
  <c r="CC25" i="15"/>
  <c r="BY26" i="15"/>
  <c r="BZ26" i="15"/>
  <c r="CA26" i="15"/>
  <c r="CB26" i="15"/>
  <c r="CC26" i="15"/>
  <c r="BY27" i="15"/>
  <c r="BZ27" i="15"/>
  <c r="CA27" i="15"/>
  <c r="CB27" i="15"/>
  <c r="CC27" i="15"/>
  <c r="BY28" i="15"/>
  <c r="BZ28" i="15"/>
  <c r="CA28" i="15"/>
  <c r="CB28" i="15"/>
  <c r="CC28" i="15"/>
  <c r="BY29" i="15"/>
  <c r="BZ29" i="15"/>
  <c r="CA29" i="15"/>
  <c r="CB29" i="15"/>
  <c r="CC29" i="15"/>
  <c r="BY30" i="15"/>
  <c r="BZ30" i="15"/>
  <c r="CA30" i="15"/>
  <c r="CB30" i="15"/>
  <c r="CC30" i="15"/>
  <c r="BY31" i="15"/>
  <c r="BZ31" i="15"/>
  <c r="CA31" i="15"/>
  <c r="CB31" i="15"/>
  <c r="CC31" i="15"/>
  <c r="BY32" i="15"/>
  <c r="BZ32" i="15"/>
  <c r="CA32" i="15"/>
  <c r="CB32" i="15"/>
  <c r="CC32" i="15"/>
  <c r="BY33" i="15"/>
  <c r="BZ33" i="15"/>
  <c r="CA33" i="15"/>
  <c r="CB33" i="15"/>
  <c r="CC33" i="15"/>
  <c r="BY34" i="15"/>
  <c r="BZ34" i="15"/>
  <c r="CA34" i="15"/>
  <c r="CB34" i="15"/>
  <c r="CC34" i="15"/>
  <c r="BY35" i="15"/>
  <c r="BZ35" i="15"/>
  <c r="CA35" i="15"/>
  <c r="CB35" i="15"/>
  <c r="CC35" i="15"/>
  <c r="BY36" i="15"/>
  <c r="BZ36" i="15"/>
  <c r="CA36" i="15"/>
  <c r="CB36" i="15"/>
  <c r="CC36" i="15"/>
  <c r="BY37" i="15"/>
  <c r="BZ37" i="15"/>
  <c r="CA37" i="15"/>
  <c r="CB37" i="15"/>
  <c r="CC37" i="15"/>
  <c r="BY38" i="15"/>
  <c r="BZ38" i="15"/>
  <c r="CA38" i="15"/>
  <c r="CB38" i="15"/>
  <c r="CC38" i="15"/>
  <c r="BY39" i="15"/>
  <c r="BZ39" i="15"/>
  <c r="CA39" i="15"/>
  <c r="CB39" i="15"/>
  <c r="CC39" i="15"/>
  <c r="BY40" i="15"/>
  <c r="BZ40" i="15"/>
  <c r="CA40" i="15"/>
  <c r="CB40" i="15"/>
  <c r="CC40" i="15"/>
  <c r="BY41" i="15"/>
  <c r="BZ41" i="15"/>
  <c r="CA41" i="15"/>
  <c r="CB41" i="15"/>
  <c r="CC41" i="15"/>
  <c r="BY42" i="15"/>
  <c r="BZ42" i="15"/>
  <c r="CA42" i="15"/>
  <c r="CB42" i="15"/>
  <c r="CC42" i="15"/>
  <c r="BY43" i="15"/>
  <c r="BZ43" i="15"/>
  <c r="CA43" i="15"/>
  <c r="CB43" i="15"/>
  <c r="CC43" i="15"/>
  <c r="BY44" i="15"/>
  <c r="BZ44" i="15"/>
  <c r="CA44" i="15"/>
  <c r="CB44" i="15"/>
  <c r="CC44" i="15"/>
  <c r="BY45" i="15"/>
  <c r="BZ45" i="15"/>
  <c r="CA45" i="15"/>
  <c r="CB45" i="15"/>
  <c r="CC45" i="15"/>
  <c r="BY46" i="15"/>
  <c r="BZ46" i="15"/>
  <c r="CA46" i="15"/>
  <c r="CB46" i="15"/>
  <c r="CC46" i="15"/>
  <c r="BY47" i="15"/>
  <c r="BZ47" i="15"/>
  <c r="CA47" i="15"/>
  <c r="CB47" i="15"/>
  <c r="CC47" i="15"/>
  <c r="BY48" i="15"/>
  <c r="BZ48" i="15"/>
  <c r="CA48" i="15"/>
  <c r="CB48" i="15"/>
  <c r="CC48" i="15"/>
  <c r="BY49" i="15"/>
  <c r="BZ49" i="15"/>
  <c r="CA49" i="15"/>
  <c r="CB49" i="15"/>
  <c r="CC49" i="15"/>
  <c r="BY50" i="15"/>
  <c r="BZ50" i="15"/>
  <c r="CA50" i="15"/>
  <c r="CB50" i="15"/>
  <c r="CC50" i="15"/>
  <c r="BY51" i="15"/>
  <c r="BZ51" i="15"/>
  <c r="CA51" i="15"/>
  <c r="CB51" i="15"/>
  <c r="CC51" i="15"/>
  <c r="BY52" i="15"/>
  <c r="BZ52" i="15"/>
  <c r="CA52" i="15"/>
  <c r="CB52" i="15"/>
  <c r="CC52" i="15"/>
  <c r="BY53" i="15"/>
  <c r="BZ53" i="15"/>
  <c r="CA53" i="15"/>
  <c r="CB53" i="15"/>
  <c r="CC53" i="15"/>
  <c r="BU11" i="15"/>
  <c r="BU12" i="15"/>
  <c r="BV12" i="15"/>
  <c r="BU13" i="15"/>
  <c r="BW13" i="15"/>
  <c r="BU14" i="15"/>
  <c r="BV14" i="15"/>
  <c r="BX14" i="15"/>
  <c r="BU15" i="15"/>
  <c r="BV15" i="15"/>
  <c r="BW15" i="15"/>
  <c r="BX15" i="15"/>
  <c r="BU16" i="15"/>
  <c r="BV16" i="15"/>
  <c r="BX16" i="15"/>
  <c r="BU17" i="15"/>
  <c r="BV17" i="15"/>
  <c r="BW17" i="15"/>
  <c r="BX17" i="15"/>
  <c r="BU18" i="15"/>
  <c r="BV18" i="15"/>
  <c r="BW18" i="15"/>
  <c r="BX18" i="15"/>
  <c r="BU19" i="15"/>
  <c r="BV19" i="15"/>
  <c r="BW19" i="15"/>
  <c r="BX19" i="15"/>
  <c r="BU20" i="15"/>
  <c r="BV20" i="15"/>
  <c r="BW20" i="15"/>
  <c r="BX20" i="15"/>
  <c r="BU21" i="15"/>
  <c r="BV21" i="15"/>
  <c r="BW21" i="15"/>
  <c r="BX21" i="15"/>
  <c r="BU22" i="15"/>
  <c r="BV22" i="15"/>
  <c r="BW22" i="15"/>
  <c r="BX22" i="15"/>
  <c r="BU23" i="15"/>
  <c r="BV23" i="15"/>
  <c r="BW23" i="15"/>
  <c r="BX23" i="15"/>
  <c r="BU24" i="15"/>
  <c r="BV24" i="15"/>
  <c r="BW24" i="15"/>
  <c r="BX24" i="15"/>
  <c r="BU25" i="15"/>
  <c r="BV25" i="15"/>
  <c r="BW25" i="15"/>
  <c r="BX25" i="15"/>
  <c r="BU26" i="15"/>
  <c r="BV26" i="15"/>
  <c r="BW26" i="15"/>
  <c r="BX26" i="15"/>
  <c r="BU27" i="15"/>
  <c r="BV27" i="15"/>
  <c r="BW27" i="15"/>
  <c r="BX27" i="15"/>
  <c r="BU28" i="15"/>
  <c r="BV28" i="15"/>
  <c r="BW28" i="15"/>
  <c r="BX28" i="15"/>
  <c r="BU29" i="15"/>
  <c r="BV29" i="15"/>
  <c r="BW29" i="15"/>
  <c r="BX29" i="15"/>
  <c r="BU30" i="15"/>
  <c r="BV30" i="15"/>
  <c r="BW30" i="15"/>
  <c r="BX30" i="15"/>
  <c r="BU31" i="15"/>
  <c r="BV31" i="15"/>
  <c r="BW31" i="15"/>
  <c r="BX31" i="15"/>
  <c r="BU32" i="15"/>
  <c r="BV32" i="15"/>
  <c r="BW32" i="15"/>
  <c r="BX32" i="15"/>
  <c r="BU33" i="15"/>
  <c r="BV33" i="15"/>
  <c r="BW33" i="15"/>
  <c r="BX33" i="15"/>
  <c r="BU34" i="15"/>
  <c r="BV34" i="15"/>
  <c r="BW34" i="15"/>
  <c r="BX34" i="15"/>
  <c r="BU35" i="15"/>
  <c r="BV35" i="15"/>
  <c r="BW35" i="15"/>
  <c r="BX35" i="15"/>
  <c r="BU36" i="15"/>
  <c r="BV36" i="15"/>
  <c r="BW36" i="15"/>
  <c r="BX36" i="15"/>
  <c r="BU37" i="15"/>
  <c r="BV37" i="15"/>
  <c r="BW37" i="15"/>
  <c r="BX37" i="15"/>
  <c r="BU38" i="15"/>
  <c r="BV38" i="15"/>
  <c r="BW38" i="15"/>
  <c r="BX38" i="15"/>
  <c r="BU39" i="15"/>
  <c r="BV39" i="15"/>
  <c r="BW39" i="15"/>
  <c r="BX39" i="15"/>
  <c r="BU40" i="15"/>
  <c r="BV40" i="15"/>
  <c r="BW40" i="15"/>
  <c r="BX40" i="15"/>
  <c r="BU41" i="15"/>
  <c r="BV41" i="15"/>
  <c r="BW41" i="15"/>
  <c r="BX41" i="15"/>
  <c r="BU42" i="15"/>
  <c r="BV42" i="15"/>
  <c r="BW42" i="15"/>
  <c r="BX42" i="15"/>
  <c r="BU43" i="15"/>
  <c r="BV43" i="15"/>
  <c r="BW43" i="15"/>
  <c r="BX43" i="15"/>
  <c r="BU44" i="15"/>
  <c r="BV44" i="15"/>
  <c r="BW44" i="15"/>
  <c r="BX44" i="15"/>
  <c r="BU45" i="15"/>
  <c r="BV45" i="15"/>
  <c r="BW45" i="15"/>
  <c r="BX45" i="15"/>
  <c r="BU46" i="15"/>
  <c r="BV46" i="15"/>
  <c r="BW46" i="15"/>
  <c r="BX46" i="15"/>
  <c r="BU47" i="15"/>
  <c r="BV47" i="15"/>
  <c r="BW47" i="15"/>
  <c r="BX47" i="15"/>
  <c r="BU48" i="15"/>
  <c r="BV48" i="15"/>
  <c r="BW48" i="15"/>
  <c r="BX48" i="15"/>
  <c r="BU49" i="15"/>
  <c r="BV49" i="15"/>
  <c r="BW49" i="15"/>
  <c r="BX49" i="15"/>
  <c r="BU50" i="15"/>
  <c r="BV50" i="15"/>
  <c r="BW50" i="15"/>
  <c r="BX50" i="15"/>
  <c r="BU51" i="15"/>
  <c r="BV51" i="15"/>
  <c r="BW51" i="15"/>
  <c r="BX51" i="15"/>
  <c r="BU52" i="15"/>
  <c r="BV52" i="15"/>
  <c r="BW52" i="15"/>
  <c r="BX52" i="15"/>
  <c r="BU53" i="15"/>
  <c r="BV53" i="15"/>
  <c r="BW53" i="15"/>
  <c r="BX53" i="15"/>
  <c r="BT21" i="15"/>
  <c r="BT22" i="15"/>
  <c r="BT23" i="15"/>
  <c r="BT24" i="15"/>
  <c r="BT25" i="15"/>
  <c r="BT26" i="15"/>
  <c r="BT27" i="15"/>
  <c r="BT28" i="15"/>
  <c r="BT29" i="15"/>
  <c r="BT30" i="15"/>
  <c r="BT31" i="15"/>
  <c r="BT32" i="15"/>
  <c r="BT33" i="15"/>
  <c r="BT34" i="15"/>
  <c r="BT35" i="15"/>
  <c r="BT36" i="15"/>
  <c r="BT37" i="15"/>
  <c r="BT38" i="15"/>
  <c r="BT39" i="15"/>
  <c r="BT40" i="15"/>
  <c r="BT41" i="15"/>
  <c r="BT42" i="15"/>
  <c r="BT43" i="15"/>
  <c r="BT44" i="15"/>
  <c r="BT45" i="15"/>
  <c r="BT46" i="15"/>
  <c r="BT47" i="15"/>
  <c r="BT48" i="15"/>
  <c r="BT49" i="15"/>
  <c r="BT50" i="15"/>
  <c r="BT51" i="15"/>
  <c r="BT52" i="15"/>
  <c r="BT53" i="15"/>
  <c r="BP11" i="15"/>
  <c r="BP12" i="15"/>
  <c r="BQ12" i="15"/>
  <c r="BP13" i="15"/>
  <c r="BR13" i="15"/>
  <c r="BP14" i="15"/>
  <c r="BQ14" i="15"/>
  <c r="BS14" i="15"/>
  <c r="BP15" i="15"/>
  <c r="BQ15" i="15"/>
  <c r="BR15" i="15"/>
  <c r="BS15" i="15"/>
  <c r="BP16" i="15"/>
  <c r="BQ16" i="15"/>
  <c r="BS16" i="15"/>
  <c r="BP17" i="15"/>
  <c r="BQ17" i="15"/>
  <c r="BR17" i="15"/>
  <c r="BS17" i="15"/>
  <c r="BP18" i="15"/>
  <c r="BQ18" i="15"/>
  <c r="BR18" i="15"/>
  <c r="BS18" i="15"/>
  <c r="BP19" i="15"/>
  <c r="BQ19" i="15"/>
  <c r="BR19" i="15"/>
  <c r="BS19" i="15"/>
  <c r="BP20" i="15"/>
  <c r="BQ20" i="15"/>
  <c r="BR20" i="15"/>
  <c r="BS20" i="15"/>
  <c r="BP21" i="15"/>
  <c r="BQ21" i="15"/>
  <c r="BR21" i="15"/>
  <c r="BS21" i="15"/>
  <c r="BP22" i="15"/>
  <c r="BQ22" i="15"/>
  <c r="BR22" i="15"/>
  <c r="BS22" i="15"/>
  <c r="BP23" i="15"/>
  <c r="BQ23" i="15"/>
  <c r="BR23" i="15"/>
  <c r="BS23" i="15"/>
  <c r="BP24" i="15"/>
  <c r="BQ24" i="15"/>
  <c r="BR24" i="15"/>
  <c r="BS24" i="15"/>
  <c r="BP25" i="15"/>
  <c r="BQ25" i="15"/>
  <c r="BR25" i="15"/>
  <c r="BS25" i="15"/>
  <c r="BP26" i="15"/>
  <c r="BQ26" i="15"/>
  <c r="BR26" i="15"/>
  <c r="BS26" i="15"/>
  <c r="BP27" i="15"/>
  <c r="BQ27" i="15"/>
  <c r="BR27" i="15"/>
  <c r="BS27" i="15"/>
  <c r="BP28" i="15"/>
  <c r="BQ28" i="15"/>
  <c r="BR28" i="15"/>
  <c r="BS28" i="15"/>
  <c r="BP29" i="15"/>
  <c r="BQ29" i="15"/>
  <c r="BR29" i="15"/>
  <c r="BS29" i="15"/>
  <c r="BP30" i="15"/>
  <c r="BQ30" i="15"/>
  <c r="BR30" i="15"/>
  <c r="BS30" i="15"/>
  <c r="BP31" i="15"/>
  <c r="BQ31" i="15"/>
  <c r="BR31" i="15"/>
  <c r="BS31" i="15"/>
  <c r="BP32" i="15"/>
  <c r="BQ32" i="15"/>
  <c r="BR32" i="15"/>
  <c r="BS32" i="15"/>
  <c r="BP33" i="15"/>
  <c r="BQ33" i="15"/>
  <c r="BR33" i="15"/>
  <c r="BS33" i="15"/>
  <c r="BP34" i="15"/>
  <c r="BQ34" i="15"/>
  <c r="BR34" i="15"/>
  <c r="BS34" i="15"/>
  <c r="BP35" i="15"/>
  <c r="BQ35" i="15"/>
  <c r="BR35" i="15"/>
  <c r="BS35" i="15"/>
  <c r="BP36" i="15"/>
  <c r="BQ36" i="15"/>
  <c r="BR36" i="15"/>
  <c r="BS36" i="15"/>
  <c r="BP37" i="15"/>
  <c r="BQ37" i="15"/>
  <c r="BR37" i="15"/>
  <c r="BS37" i="15"/>
  <c r="BP38" i="15"/>
  <c r="BQ38" i="15"/>
  <c r="BR38" i="15"/>
  <c r="BS38" i="15"/>
  <c r="BP39" i="15"/>
  <c r="BQ39" i="15"/>
  <c r="BR39" i="15"/>
  <c r="BS39" i="15"/>
  <c r="BP40" i="15"/>
  <c r="BQ40" i="15"/>
  <c r="BR40" i="15"/>
  <c r="BS40" i="15"/>
  <c r="BP41" i="15"/>
  <c r="BQ41" i="15"/>
  <c r="BR41" i="15"/>
  <c r="BS41" i="15"/>
  <c r="BP42" i="15"/>
  <c r="BQ42" i="15"/>
  <c r="BR42" i="15"/>
  <c r="BS42" i="15"/>
  <c r="BP43" i="15"/>
  <c r="BQ43" i="15"/>
  <c r="BR43" i="15"/>
  <c r="BS43" i="15"/>
  <c r="BP44" i="15"/>
  <c r="BQ44" i="15"/>
  <c r="BR44" i="15"/>
  <c r="BS44" i="15"/>
  <c r="BP45" i="15"/>
  <c r="BQ45" i="15"/>
  <c r="BR45" i="15"/>
  <c r="BS45" i="15"/>
  <c r="BP46" i="15"/>
  <c r="BQ46" i="15"/>
  <c r="BR46" i="15"/>
  <c r="BS46" i="15"/>
  <c r="BP47" i="15"/>
  <c r="BQ47" i="15"/>
  <c r="BR47" i="15"/>
  <c r="BS47" i="15"/>
  <c r="BP48" i="15"/>
  <c r="BQ48" i="15"/>
  <c r="BR48" i="15"/>
  <c r="BS48" i="15"/>
  <c r="BP49" i="15"/>
  <c r="BQ49" i="15"/>
  <c r="BR49" i="15"/>
  <c r="BS49" i="15"/>
  <c r="BP50" i="15"/>
  <c r="BQ50" i="15"/>
  <c r="BR50" i="15"/>
  <c r="BS50" i="15"/>
  <c r="BP51" i="15"/>
  <c r="BQ51" i="15"/>
  <c r="BR51" i="15"/>
  <c r="BS51" i="15"/>
  <c r="BP52" i="15"/>
  <c r="BQ52" i="15"/>
  <c r="BR52" i="15"/>
  <c r="BS52" i="15"/>
  <c r="BP53" i="15"/>
  <c r="BQ53" i="15"/>
  <c r="BR53" i="15"/>
  <c r="BS53" i="15"/>
  <c r="BO21" i="15"/>
  <c r="BO22" i="15"/>
  <c r="BO23" i="15"/>
  <c r="BO24" i="15"/>
  <c r="BO25" i="15"/>
  <c r="BO26" i="15"/>
  <c r="BO27" i="15"/>
  <c r="BO28" i="15"/>
  <c r="BO29" i="15"/>
  <c r="BO30" i="15"/>
  <c r="BO31" i="15"/>
  <c r="BO32" i="15"/>
  <c r="BO33" i="15"/>
  <c r="BO34" i="15"/>
  <c r="BO35" i="15"/>
  <c r="BO36" i="15"/>
  <c r="BO37" i="15"/>
  <c r="BO38" i="15"/>
  <c r="BO39" i="15"/>
  <c r="BO40" i="15"/>
  <c r="BO41" i="15"/>
  <c r="BO42" i="15"/>
  <c r="BO43" i="15"/>
  <c r="BO44" i="15"/>
  <c r="BO45" i="15"/>
  <c r="BO46" i="15"/>
  <c r="BO47" i="15"/>
  <c r="BO48" i="15"/>
  <c r="BO49" i="15"/>
  <c r="BO50" i="15"/>
  <c r="BO51" i="15"/>
  <c r="BO52" i="15"/>
  <c r="BO53" i="15"/>
  <c r="BM21" i="15"/>
  <c r="BM22" i="15"/>
  <c r="BM23" i="15"/>
  <c r="BM24" i="15"/>
  <c r="BM25" i="15"/>
  <c r="BM26" i="15"/>
  <c r="BM27" i="15"/>
  <c r="BM28" i="15"/>
  <c r="BM29" i="15"/>
  <c r="BM30" i="15"/>
  <c r="BM31" i="15"/>
  <c r="BM32" i="15"/>
  <c r="BM33" i="15"/>
  <c r="BM34" i="15"/>
  <c r="BM35" i="15"/>
  <c r="BM36" i="15"/>
  <c r="BM37" i="15"/>
  <c r="BM38" i="15"/>
  <c r="BM39" i="15"/>
  <c r="BM40" i="15"/>
  <c r="BM41" i="15"/>
  <c r="BM42" i="15"/>
  <c r="BM43" i="15"/>
  <c r="BM44" i="15"/>
  <c r="BM45" i="15"/>
  <c r="BM46" i="15"/>
  <c r="BM47" i="15"/>
  <c r="BM48" i="15"/>
  <c r="BM49" i="15"/>
  <c r="BM50" i="15"/>
  <c r="BM51" i="15"/>
  <c r="BM52" i="15"/>
  <c r="BM53" i="15"/>
  <c r="BL26" i="15"/>
  <c r="BL27" i="15"/>
  <c r="BL28" i="15"/>
  <c r="BL29" i="15"/>
  <c r="BL30" i="15"/>
  <c r="BL31" i="15"/>
  <c r="BL32" i="15"/>
  <c r="BL33" i="15"/>
  <c r="BL34" i="15"/>
  <c r="BL35" i="15"/>
  <c r="BL36" i="15"/>
  <c r="BL37" i="15"/>
  <c r="BL38" i="15"/>
  <c r="BL39" i="15"/>
  <c r="BL40" i="15"/>
  <c r="BL41" i="15"/>
  <c r="BL42" i="15"/>
  <c r="BL43" i="15"/>
  <c r="BL44" i="15"/>
  <c r="BL45" i="15"/>
  <c r="BL46" i="15"/>
  <c r="BL47" i="15"/>
  <c r="BL48" i="15"/>
  <c r="BL49" i="15"/>
  <c r="BL50" i="15"/>
  <c r="BL51" i="15"/>
  <c r="BL52" i="15"/>
  <c r="BL53" i="15"/>
  <c r="BK14" i="15"/>
  <c r="BK21" i="15"/>
  <c r="BK22" i="15"/>
  <c r="BK23" i="15"/>
  <c r="BK24" i="15"/>
  <c r="BK25" i="15"/>
  <c r="BK26" i="15"/>
  <c r="BK27" i="15"/>
  <c r="BK28" i="15"/>
  <c r="BK29" i="15"/>
  <c r="BK30" i="15"/>
  <c r="BK31" i="15"/>
  <c r="BK32" i="15"/>
  <c r="BK33" i="15"/>
  <c r="BK34" i="15"/>
  <c r="BK35" i="15"/>
  <c r="BK36" i="15"/>
  <c r="BK37" i="15"/>
  <c r="BK38" i="15"/>
  <c r="BK39" i="15"/>
  <c r="BK40" i="15"/>
  <c r="BK41" i="15"/>
  <c r="BK42" i="15"/>
  <c r="BK43" i="15"/>
  <c r="BK44" i="15"/>
  <c r="BK45" i="15"/>
  <c r="BK46" i="15"/>
  <c r="BK47" i="15"/>
  <c r="BK48" i="15"/>
  <c r="BK49" i="15"/>
  <c r="BK50" i="15"/>
  <c r="BK51" i="15"/>
  <c r="BK52" i="15"/>
  <c r="BK53" i="15"/>
  <c r="BJ26" i="15"/>
  <c r="BJ27" i="15"/>
  <c r="BJ28" i="15"/>
  <c r="BJ29" i="15"/>
  <c r="BJ30" i="15"/>
  <c r="BJ31" i="15"/>
  <c r="BJ32" i="15"/>
  <c r="BJ33" i="15"/>
  <c r="BJ34" i="15"/>
  <c r="BJ35" i="15"/>
  <c r="BJ36" i="15"/>
  <c r="BJ37" i="15"/>
  <c r="BJ38" i="15"/>
  <c r="BJ39" i="15"/>
  <c r="BJ40" i="15"/>
  <c r="BJ41" i="15"/>
  <c r="BJ42" i="15"/>
  <c r="BJ43" i="15"/>
  <c r="BJ44" i="15"/>
  <c r="BJ45" i="15"/>
  <c r="BJ46" i="15"/>
  <c r="BJ47" i="15"/>
  <c r="BJ48" i="15"/>
  <c r="BJ49" i="15"/>
  <c r="BJ50" i="15"/>
  <c r="BJ51" i="15"/>
  <c r="BJ52" i="15"/>
  <c r="BJ53" i="15"/>
  <c r="BI21" i="15"/>
  <c r="BI22" i="15"/>
  <c r="BI23" i="15"/>
  <c r="BI24" i="15"/>
  <c r="BI25" i="15"/>
  <c r="BI26" i="15"/>
  <c r="BI27" i="15"/>
  <c r="BI28" i="15"/>
  <c r="BI29" i="15"/>
  <c r="BI30" i="15"/>
  <c r="BI31" i="15"/>
  <c r="BI32" i="15"/>
  <c r="BI33" i="15"/>
  <c r="BI34" i="15"/>
  <c r="BI35" i="15"/>
  <c r="BI36" i="15"/>
  <c r="BI37" i="15"/>
  <c r="BI38" i="15"/>
  <c r="BI39" i="15"/>
  <c r="BI40" i="15"/>
  <c r="BI41" i="15"/>
  <c r="BI42" i="15"/>
  <c r="BI43" i="15"/>
  <c r="BI44" i="15"/>
  <c r="BI45" i="15"/>
  <c r="BI46" i="15"/>
  <c r="BI47" i="15"/>
  <c r="BI48" i="15"/>
  <c r="BI49" i="15"/>
  <c r="BI50" i="15"/>
  <c r="BI51" i="15"/>
  <c r="BI52" i="15"/>
  <c r="BI53" i="15"/>
  <c r="BG21" i="15"/>
  <c r="BG22" i="15"/>
  <c r="BG23" i="15"/>
  <c r="BG24" i="15"/>
  <c r="BG25" i="15"/>
  <c r="BG26" i="15"/>
  <c r="BG27" i="15"/>
  <c r="BG28" i="15"/>
  <c r="BG29" i="15"/>
  <c r="BG30" i="15"/>
  <c r="BG31" i="15"/>
  <c r="BG32" i="15"/>
  <c r="BG33" i="15"/>
  <c r="BG34" i="15"/>
  <c r="BG35" i="15"/>
  <c r="BG36" i="15"/>
  <c r="BG37" i="15"/>
  <c r="BG38" i="15"/>
  <c r="BG39" i="15"/>
  <c r="BG40" i="15"/>
  <c r="BG41" i="15"/>
  <c r="BG42" i="15"/>
  <c r="BG43" i="15"/>
  <c r="BG44" i="15"/>
  <c r="BG45" i="15"/>
  <c r="BG46" i="15"/>
  <c r="BG47" i="15"/>
  <c r="BG48" i="15"/>
  <c r="BG49" i="15"/>
  <c r="BG50" i="15"/>
  <c r="BG51" i="15"/>
  <c r="BG52" i="15"/>
  <c r="BG53" i="15"/>
  <c r="BE17" i="15"/>
  <c r="BE18" i="15"/>
  <c r="BE19" i="15"/>
  <c r="BE20" i="15"/>
  <c r="BE21" i="15"/>
  <c r="BE22" i="15"/>
  <c r="BE23" i="15"/>
  <c r="BE24" i="15"/>
  <c r="BE25" i="15"/>
  <c r="BE26" i="15"/>
  <c r="BE27" i="15"/>
  <c r="BE28" i="15"/>
  <c r="BE29" i="15"/>
  <c r="BE30" i="15"/>
  <c r="BE31" i="15"/>
  <c r="BE32" i="15"/>
  <c r="BE33" i="15"/>
  <c r="BE34" i="15"/>
  <c r="BE35" i="15"/>
  <c r="BE36" i="15"/>
  <c r="BE37" i="15"/>
  <c r="BE38" i="15"/>
  <c r="BE39" i="15"/>
  <c r="BE40" i="15"/>
  <c r="BE41" i="15"/>
  <c r="BE42" i="15"/>
  <c r="BE43" i="15"/>
  <c r="BE44" i="15"/>
  <c r="BE45" i="15"/>
  <c r="BE46" i="15"/>
  <c r="BE47" i="15"/>
  <c r="BE48" i="15"/>
  <c r="BE49" i="15"/>
  <c r="BE50" i="15"/>
  <c r="BE51" i="15"/>
  <c r="BE52" i="15"/>
  <c r="BE53" i="15"/>
  <c r="BC17" i="15"/>
  <c r="BC18" i="15"/>
  <c r="BC19" i="15"/>
  <c r="BC20" i="15"/>
  <c r="BC21" i="15"/>
  <c r="BC22" i="15"/>
  <c r="BC23" i="15"/>
  <c r="BC24" i="15"/>
  <c r="BC25" i="15"/>
  <c r="BC26" i="15"/>
  <c r="BC27" i="15"/>
  <c r="BC28" i="15"/>
  <c r="BC29" i="15"/>
  <c r="BC30" i="15"/>
  <c r="BC31" i="15"/>
  <c r="BC32" i="15"/>
  <c r="BC33" i="15"/>
  <c r="BC34" i="15"/>
  <c r="BC35" i="15"/>
  <c r="BC36" i="15"/>
  <c r="BC37" i="15"/>
  <c r="BC38" i="15"/>
  <c r="BC39" i="15"/>
  <c r="BC40" i="15"/>
  <c r="BC41" i="15"/>
  <c r="BC42" i="15"/>
  <c r="BC43" i="15"/>
  <c r="BC44" i="15"/>
  <c r="BC45" i="15"/>
  <c r="BC46" i="15"/>
  <c r="BC47" i="15"/>
  <c r="BC48" i="15"/>
  <c r="BC49" i="15"/>
  <c r="BC50" i="15"/>
  <c r="BC51" i="15"/>
  <c r="BC52" i="15"/>
  <c r="BC53" i="15"/>
  <c r="BA17" i="15"/>
  <c r="BA18" i="15"/>
  <c r="BA19" i="15"/>
  <c r="BA20" i="15"/>
  <c r="BA21" i="15"/>
  <c r="BA22" i="15"/>
  <c r="BA23" i="15"/>
  <c r="BA24" i="15"/>
  <c r="BA25" i="15"/>
  <c r="BA26" i="15"/>
  <c r="BA27" i="15"/>
  <c r="BA28" i="15"/>
  <c r="BA29" i="15"/>
  <c r="BA30" i="15"/>
  <c r="BA31" i="15"/>
  <c r="BA32" i="15"/>
  <c r="BA33" i="15"/>
  <c r="BA34" i="15"/>
  <c r="BA35" i="15"/>
  <c r="BA36" i="15"/>
  <c r="BA37" i="15"/>
  <c r="BA38" i="15"/>
  <c r="BA39" i="15"/>
  <c r="BA40" i="15"/>
  <c r="BA41" i="15"/>
  <c r="BA42" i="15"/>
  <c r="BA43" i="15"/>
  <c r="BA44" i="15"/>
  <c r="BA45" i="15"/>
  <c r="BA46" i="15"/>
  <c r="BA47" i="15"/>
  <c r="BA48" i="15"/>
  <c r="BA49" i="15"/>
  <c r="BA50" i="15"/>
  <c r="BA51" i="15"/>
  <c r="BA52" i="15"/>
  <c r="BA53" i="15"/>
  <c r="BD21" i="15"/>
  <c r="BD22" i="15"/>
  <c r="BD23" i="15"/>
  <c r="BD24" i="15"/>
  <c r="BD25" i="15"/>
  <c r="BD26" i="15"/>
  <c r="BD27" i="15"/>
  <c r="BD28" i="15"/>
  <c r="BD29" i="15"/>
  <c r="BD30" i="15"/>
  <c r="BD31" i="15"/>
  <c r="BD32" i="15"/>
  <c r="BD33" i="15"/>
  <c r="BD34" i="15"/>
  <c r="BD35" i="15"/>
  <c r="BD36" i="15"/>
  <c r="BD37" i="15"/>
  <c r="BD38" i="15"/>
  <c r="BD39" i="15"/>
  <c r="BD40" i="15"/>
  <c r="BD41" i="15"/>
  <c r="BD42" i="15"/>
  <c r="BD43" i="15"/>
  <c r="BD44" i="15"/>
  <c r="BD45" i="15"/>
  <c r="BD46" i="15"/>
  <c r="BD47" i="15"/>
  <c r="BD48" i="15"/>
  <c r="BD49" i="15"/>
  <c r="BD50" i="15"/>
  <c r="BD51" i="15"/>
  <c r="BD52" i="15"/>
  <c r="BD53" i="15"/>
  <c r="BB21" i="15"/>
  <c r="BB22" i="15"/>
  <c r="BB23" i="15"/>
  <c r="BB24" i="15"/>
  <c r="BB25" i="15"/>
  <c r="BB26" i="15"/>
  <c r="BB27" i="15"/>
  <c r="BB28" i="15"/>
  <c r="BB29" i="15"/>
  <c r="BB30" i="15"/>
  <c r="BB31" i="15"/>
  <c r="BB32" i="15"/>
  <c r="BB33" i="15"/>
  <c r="BB34" i="15"/>
  <c r="BB35" i="15"/>
  <c r="BB36" i="15"/>
  <c r="BB37" i="15"/>
  <c r="BB38" i="15"/>
  <c r="BB39" i="15"/>
  <c r="BB40" i="15"/>
  <c r="BB41" i="15"/>
  <c r="BB42" i="15"/>
  <c r="BB43" i="15"/>
  <c r="BB44" i="15"/>
  <c r="BB45" i="15"/>
  <c r="BB46" i="15"/>
  <c r="BB47" i="15"/>
  <c r="BB48" i="15"/>
  <c r="BB49" i="15"/>
  <c r="BB50" i="15"/>
  <c r="BB51" i="15"/>
  <c r="BB52" i="15"/>
  <c r="BB53" i="15"/>
  <c r="P232" i="8"/>
  <c r="P233" i="8"/>
  <c r="P234" i="8"/>
  <c r="P235" i="8"/>
  <c r="P236" i="8"/>
  <c r="P237" i="8"/>
  <c r="P238" i="8"/>
  <c r="P239" i="8"/>
  <c r="P240" i="8"/>
  <c r="P241" i="8"/>
  <c r="P242" i="8"/>
  <c r="P243" i="8"/>
  <c r="P244" i="8"/>
  <c r="P245" i="8"/>
  <c r="P246" i="8"/>
  <c r="P247" i="8"/>
  <c r="P248" i="8"/>
  <c r="P249" i="8"/>
  <c r="P250" i="8"/>
  <c r="P251" i="8"/>
  <c r="P252" i="8"/>
  <c r="P253" i="8"/>
  <c r="P254" i="8"/>
  <c r="P255" i="8"/>
  <c r="P256" i="8"/>
  <c r="P257" i="8"/>
  <c r="P258" i="8"/>
  <c r="P259" i="8"/>
  <c r="P260" i="8"/>
  <c r="P11" i="15" s="1"/>
  <c r="P261" i="8"/>
  <c r="P262" i="8"/>
  <c r="P263" i="8"/>
  <c r="P264" i="8"/>
  <c r="P265" i="8"/>
  <c r="P266" i="8"/>
  <c r="P267" i="8"/>
  <c r="P268" i="8"/>
  <c r="P269" i="8"/>
  <c r="P270" i="8"/>
  <c r="P271" i="8"/>
  <c r="P272" i="8"/>
  <c r="P273" i="8"/>
  <c r="P274" i="8"/>
  <c r="P275" i="8"/>
  <c r="P276" i="8"/>
  <c r="P277" i="8"/>
  <c r="P278" i="8"/>
  <c r="P279" i="8"/>
  <c r="P280" i="8"/>
  <c r="P281" i="8"/>
  <c r="P282" i="8"/>
  <c r="P283" i="8"/>
  <c r="W20" i="11"/>
  <c r="W21" i="11"/>
  <c r="W22" i="11"/>
  <c r="W23" i="11"/>
  <c r="W24" i="11"/>
  <c r="W19" i="11"/>
  <c r="AN24" i="15" l="1"/>
  <c r="AN21" i="15"/>
  <c r="AN25" i="15"/>
  <c r="AM17" i="15"/>
  <c r="AN19" i="15"/>
  <c r="AN17" i="15"/>
  <c r="AN18" i="15"/>
  <c r="AN22" i="15"/>
  <c r="AN23" i="15"/>
  <c r="AN20" i="15"/>
  <c r="R17" i="15" l="1" a="1"/>
  <c r="R17" i="15" s="1"/>
  <c r="E64" i="17"/>
  <c r="E63" i="17"/>
  <c r="CH55" i="15"/>
  <c r="CH56" i="15"/>
  <c r="CH57" i="15"/>
  <c r="CH58" i="15"/>
  <c r="CR9" i="15"/>
  <c r="CR11" i="15"/>
  <c r="CR18" i="15"/>
  <c r="CR19" i="15"/>
  <c r="CR20" i="15"/>
  <c r="CR21" i="15"/>
  <c r="CR22" i="15"/>
  <c r="CR23" i="15"/>
  <c r="CR24" i="15"/>
  <c r="CR25" i="15"/>
  <c r="CR26" i="15"/>
  <c r="CR27" i="15"/>
  <c r="CR28" i="15"/>
  <c r="CR29" i="15"/>
  <c r="CR30" i="15"/>
  <c r="CR31" i="15"/>
  <c r="CR32" i="15"/>
  <c r="CR33" i="15"/>
  <c r="CR34" i="15"/>
  <c r="CR35" i="15"/>
  <c r="CR36" i="15"/>
  <c r="CR37" i="15"/>
  <c r="CR38" i="15"/>
  <c r="CR39" i="15"/>
  <c r="CR40" i="15"/>
  <c r="CR41" i="15"/>
  <c r="CR42" i="15"/>
  <c r="CR43" i="15"/>
  <c r="CR44" i="15"/>
  <c r="CR45" i="15"/>
  <c r="CR46" i="15"/>
  <c r="CR47" i="15"/>
  <c r="CR48" i="15"/>
  <c r="CR49" i="15"/>
  <c r="CR50" i="15"/>
  <c r="CR51" i="15"/>
  <c r="CR52" i="15"/>
  <c r="CR53" i="15"/>
  <c r="CC55" i="15"/>
  <c r="CC56" i="15"/>
  <c r="CC57" i="15"/>
  <c r="CC58" i="15"/>
  <c r="BX55" i="15"/>
  <c r="BX56" i="15"/>
  <c r="BX57" i="15"/>
  <c r="BX58" i="15"/>
  <c r="BS55" i="15"/>
  <c r="BS56" i="15"/>
  <c r="BS57" i="15"/>
  <c r="BS58" i="15"/>
  <c r="W17" i="15" l="1" a="1"/>
  <c r="W17" i="15" s="1"/>
  <c r="AN30" i="15"/>
  <c r="AN36" i="15"/>
  <c r="AN42" i="15"/>
  <c r="AN47" i="15"/>
  <c r="AN11" i="15"/>
  <c r="AN33" i="15"/>
  <c r="AN26" i="15"/>
  <c r="AN39" i="15"/>
  <c r="AN29" i="15"/>
  <c r="AN43" i="15"/>
  <c r="AN49" i="15"/>
  <c r="AN52" i="15"/>
  <c r="AN12" i="15"/>
  <c r="AN15" i="15"/>
  <c r="AN48" i="15"/>
  <c r="AN38" i="15"/>
  <c r="AN28" i="15"/>
  <c r="AN37" i="15"/>
  <c r="AN40" i="15"/>
  <c r="AN53" i="15"/>
  <c r="AN13" i="15"/>
  <c r="AN46" i="15"/>
  <c r="AN16" i="15"/>
  <c r="AN10" i="15"/>
  <c r="R10" i="15" s="1" a="1"/>
  <c r="R10" i="15" s="1"/>
  <c r="AN32" i="15"/>
  <c r="AN45" i="15"/>
  <c r="AN35" i="15"/>
  <c r="AN51" i="15"/>
  <c r="AN41" i="15"/>
  <c r="AN31" i="15"/>
  <c r="AN27" i="15"/>
  <c r="AN50" i="15"/>
  <c r="AN44" i="15"/>
  <c r="AN34" i="15"/>
  <c r="AN14" i="15"/>
  <c r="AT25" i="15" l="1"/>
  <c r="W10" i="15" l="1" a="1"/>
  <c r="W10" i="15" s="1"/>
  <c r="D32" i="23"/>
  <c r="AP21" i="15" l="1"/>
  <c r="AO20" i="15"/>
  <c r="AO21" i="15"/>
  <c r="AP20" i="15"/>
  <c r="AP19" i="15"/>
  <c r="AO19" i="15"/>
  <c r="AP18" i="15"/>
  <c r="AO18" i="15"/>
  <c r="AM24" i="15"/>
  <c r="R24" i="15" s="1" a="1"/>
  <c r="R24" i="15" s="1"/>
  <c r="AO22" i="15"/>
  <c r="AP23" i="15"/>
  <c r="AO23" i="15"/>
  <c r="AM22" i="15"/>
  <c r="R22" i="15" s="1" a="1"/>
  <c r="R22" i="15" s="1"/>
  <c r="AM20" i="15"/>
  <c r="R20" i="15" s="1" a="1"/>
  <c r="R20" i="15" s="1"/>
  <c r="AP24" i="15"/>
  <c r="AP22" i="15"/>
  <c r="AM19" i="15"/>
  <c r="R19" i="15" s="1" a="1"/>
  <c r="R19" i="15" s="1"/>
  <c r="AO24" i="15"/>
  <c r="AM23" i="15"/>
  <c r="R23" i="15" s="1" a="1"/>
  <c r="R23" i="15" s="1"/>
  <c r="AM21" i="15"/>
  <c r="R21" i="15" s="1" a="1"/>
  <c r="R21" i="15" s="1"/>
  <c r="AM18" i="15"/>
  <c r="R18" i="15" s="1" a="1"/>
  <c r="R18" i="15" s="1"/>
  <c r="AR46" i="15"/>
  <c r="AT46" i="15"/>
  <c r="AT40" i="15"/>
  <c r="AR40" i="15"/>
  <c r="AR51" i="15"/>
  <c r="AT51" i="15"/>
  <c r="AR36" i="15"/>
  <c r="AT36" i="15"/>
  <c r="AR50" i="15"/>
  <c r="AT50" i="15"/>
  <c r="AR45" i="15"/>
  <c r="AT45" i="15"/>
  <c r="AR35" i="15"/>
  <c r="AT35" i="15"/>
  <c r="AT30" i="15"/>
  <c r="AR30" i="15"/>
  <c r="AR26" i="15"/>
  <c r="AT26" i="15"/>
  <c r="AR21" i="15"/>
  <c r="AT21" i="15"/>
  <c r="AT17" i="15"/>
  <c r="AR17" i="15"/>
  <c r="AR49" i="15"/>
  <c r="AT49" i="15"/>
  <c r="AR44" i="15"/>
  <c r="AT44" i="15"/>
  <c r="AR39" i="15"/>
  <c r="AT39" i="15"/>
  <c r="AR34" i="15"/>
  <c r="AT34" i="15"/>
  <c r="AR29" i="15"/>
  <c r="AT29" i="15"/>
  <c r="AR25" i="15"/>
  <c r="AR24" i="15"/>
  <c r="AT24" i="15"/>
  <c r="AR20" i="15"/>
  <c r="AT20" i="15"/>
  <c r="AR16" i="15"/>
  <c r="AT16" i="15"/>
  <c r="AR41" i="15"/>
  <c r="AT41" i="15"/>
  <c r="AR31" i="15"/>
  <c r="AT31" i="15"/>
  <c r="AR48" i="15"/>
  <c r="AT48" i="15"/>
  <c r="AR38" i="15"/>
  <c r="AT38" i="15"/>
  <c r="AR28" i="15"/>
  <c r="AT28" i="15"/>
  <c r="AR23" i="15"/>
  <c r="AT23" i="15"/>
  <c r="AR15" i="15"/>
  <c r="AT15" i="15"/>
  <c r="AR52" i="15"/>
  <c r="AT52" i="15"/>
  <c r="AR47" i="15"/>
  <c r="AT47" i="15"/>
  <c r="AR42" i="15"/>
  <c r="AT42" i="15"/>
  <c r="AR37" i="15"/>
  <c r="AT37" i="15"/>
  <c r="AR32" i="15"/>
  <c r="AT32" i="15"/>
  <c r="AR27" i="15"/>
  <c r="AT27" i="15"/>
  <c r="AR22" i="15"/>
  <c r="AT22" i="15"/>
  <c r="AR18" i="15"/>
  <c r="AT18" i="15"/>
  <c r="AR14" i="15"/>
  <c r="AT14" i="15"/>
  <c r="AR53" i="15"/>
  <c r="AT53" i="15"/>
  <c r="AR43" i="15"/>
  <c r="AT43" i="15"/>
  <c r="AR33" i="15"/>
  <c r="AT33" i="15"/>
  <c r="AR19" i="15"/>
  <c r="AT19" i="15"/>
  <c r="AS36" i="15"/>
  <c r="AS14" i="15"/>
  <c r="AS30" i="15"/>
  <c r="AS22" i="15"/>
  <c r="AS37" i="15"/>
  <c r="AS40" i="15"/>
  <c r="AS47" i="15"/>
  <c r="AS43" i="15"/>
  <c r="AS50" i="15"/>
  <c r="AS26" i="15"/>
  <c r="AS33" i="15"/>
  <c r="AS19" i="15"/>
  <c r="AS53" i="15"/>
  <c r="AS46" i="15"/>
  <c r="AS27" i="15"/>
  <c r="AS17" i="15"/>
  <c r="AS49" i="15"/>
  <c r="AS39" i="15"/>
  <c r="AS29" i="15"/>
  <c r="AS25" i="15"/>
  <c r="T25" i="15" s="1" a="1"/>
  <c r="T25" i="15" s="1"/>
  <c r="AS24" i="15"/>
  <c r="AS16" i="15"/>
  <c r="AS52" i="15"/>
  <c r="AS42" i="15"/>
  <c r="AS32" i="15"/>
  <c r="AS18" i="15"/>
  <c r="AS45" i="15"/>
  <c r="AS35" i="15"/>
  <c r="AS21" i="15"/>
  <c r="AS48" i="15"/>
  <c r="AS38" i="15"/>
  <c r="AS28" i="15"/>
  <c r="AS23" i="15"/>
  <c r="AS15" i="15"/>
  <c r="AS51" i="15"/>
  <c r="AS41" i="15"/>
  <c r="AS31" i="15"/>
  <c r="AS44" i="15"/>
  <c r="AS34" i="15"/>
  <c r="AS20" i="15"/>
  <c r="AO34" i="15"/>
  <c r="AM34" i="15"/>
  <c r="R34" i="15" s="1" a="1"/>
  <c r="R34" i="15" s="1"/>
  <c r="AP46" i="15"/>
  <c r="AM27" i="15"/>
  <c r="R27" i="15" s="1" a="1"/>
  <c r="R27" i="15" s="1"/>
  <c r="AM39" i="15"/>
  <c r="R39" i="15" s="1" a="1"/>
  <c r="R39" i="15" s="1"/>
  <c r="AP38" i="15"/>
  <c r="AO41" i="15"/>
  <c r="AP33" i="15"/>
  <c r="AO33" i="15"/>
  <c r="AO46" i="15"/>
  <c r="AP50" i="15"/>
  <c r="AO44" i="15"/>
  <c r="AP43" i="15"/>
  <c r="AP30" i="15"/>
  <c r="AP17" i="15"/>
  <c r="AP39" i="15"/>
  <c r="AO43" i="15"/>
  <c r="AM52" i="15"/>
  <c r="R52" i="15" s="1" a="1"/>
  <c r="R52" i="15" s="1"/>
  <c r="AO39" i="15"/>
  <c r="AO38" i="15"/>
  <c r="AM44" i="15"/>
  <c r="R44" i="15" s="1" a="1"/>
  <c r="R44" i="15" s="1"/>
  <c r="AP36" i="15"/>
  <c r="AM48" i="15"/>
  <c r="R48" i="15" s="1" a="1"/>
  <c r="R48" i="15" s="1"/>
  <c r="AM42" i="15"/>
  <c r="R42" i="15" s="1" a="1"/>
  <c r="R42" i="15" s="1"/>
  <c r="AP35" i="15"/>
  <c r="AM30" i="15"/>
  <c r="R30" i="15" s="1" a="1"/>
  <c r="R30" i="15" s="1"/>
  <c r="AO53" i="15"/>
  <c r="AM53" i="15"/>
  <c r="R53" i="15" s="1" a="1"/>
  <c r="R53" i="15" s="1"/>
  <c r="AM47" i="15"/>
  <c r="R47" i="15" s="1" a="1"/>
  <c r="R47" i="15" s="1"/>
  <c r="AP41" i="15"/>
  <c r="AO28" i="15"/>
  <c r="AP16" i="15"/>
  <c r="AM26" i="15"/>
  <c r="R26" i="15" s="1" a="1"/>
  <c r="R26" i="15" s="1"/>
  <c r="AM50" i="15"/>
  <c r="R50" i="15" s="1" a="1"/>
  <c r="R50" i="15" s="1"/>
  <c r="AO16" i="15"/>
  <c r="AM45" i="15"/>
  <c r="R45" i="15" s="1" a="1"/>
  <c r="R45" i="15" s="1"/>
  <c r="AM33" i="15"/>
  <c r="R33" i="15" s="1" a="1"/>
  <c r="R33" i="15" s="1"/>
  <c r="AO36" i="15"/>
  <c r="AP25" i="15"/>
  <c r="AM15" i="15"/>
  <c r="R15" i="15" s="1" a="1"/>
  <c r="R15" i="15" s="1"/>
  <c r="AP49" i="15"/>
  <c r="AM28" i="15"/>
  <c r="R28" i="15" s="1" a="1"/>
  <c r="R28" i="15" s="1"/>
  <c r="AO31" i="15"/>
  <c r="AO25" i="15"/>
  <c r="AO49" i="15"/>
  <c r="AP44" i="15"/>
  <c r="AM25" i="15"/>
  <c r="R25" i="15" s="1" a="1"/>
  <c r="R25" i="15" s="1"/>
  <c r="AM14" i="15"/>
  <c r="R14" i="15" s="1" a="1"/>
  <c r="R14" i="15" s="1"/>
  <c r="AM49" i="15"/>
  <c r="R49" i="15" s="1" a="1"/>
  <c r="R49" i="15" s="1"/>
  <c r="AP40" i="15"/>
  <c r="AM16" i="15"/>
  <c r="R16" i="15" s="1" a="1"/>
  <c r="R16" i="15" s="1"/>
  <c r="AP51" i="15"/>
  <c r="AP48" i="15"/>
  <c r="AM38" i="15"/>
  <c r="R38" i="15" s="1" a="1"/>
  <c r="R38" i="15" s="1"/>
  <c r="AM35" i="15"/>
  <c r="R35" i="15" s="1" a="1"/>
  <c r="R35" i="15" s="1"/>
  <c r="AM32" i="15"/>
  <c r="R32" i="15" s="1" a="1"/>
  <c r="R32" i="15" s="1"/>
  <c r="AP29" i="15"/>
  <c r="AP15" i="15"/>
  <c r="AO51" i="15"/>
  <c r="AO48" i="15"/>
  <c r="AO29" i="15"/>
  <c r="AO15" i="15"/>
  <c r="AM29" i="15"/>
  <c r="R29" i="15" s="1" a="1"/>
  <c r="R29" i="15" s="1"/>
  <c r="AP26" i="15"/>
  <c r="AP53" i="15"/>
  <c r="AM43" i="15"/>
  <c r="R43" i="15" s="1" a="1"/>
  <c r="R43" i="15" s="1"/>
  <c r="AM37" i="15"/>
  <c r="R37" i="15" s="1" a="1"/>
  <c r="R37" i="15" s="1"/>
  <c r="AP34" i="15"/>
  <c r="AP31" i="15"/>
  <c r="AP28" i="15"/>
  <c r="AP45" i="15"/>
  <c r="AM40" i="15"/>
  <c r="R40" i="15" s="1" a="1"/>
  <c r="R40" i="15" s="1"/>
  <c r="AP52" i="15"/>
  <c r="AM51" i="15"/>
  <c r="R51" i="15" s="1" a="1"/>
  <c r="R51" i="15" s="1"/>
  <c r="AP47" i="15"/>
  <c r="AM46" i="15"/>
  <c r="R46" i="15" s="1" a="1"/>
  <c r="R46" i="15" s="1"/>
  <c r="AP42" i="15"/>
  <c r="AM41" i="15"/>
  <c r="R41" i="15" s="1" a="1"/>
  <c r="R41" i="15" s="1"/>
  <c r="AP37" i="15"/>
  <c r="AM36" i="15"/>
  <c r="R36" i="15" s="1" a="1"/>
  <c r="R36" i="15" s="1"/>
  <c r="AP32" i="15"/>
  <c r="AM31" i="15"/>
  <c r="R31" i="15" s="1" a="1"/>
  <c r="R31" i="15" s="1"/>
  <c r="AP27" i="15"/>
  <c r="AP14" i="15"/>
  <c r="AO52" i="15"/>
  <c r="AO47" i="15"/>
  <c r="AO42" i="15"/>
  <c r="AO37" i="15"/>
  <c r="AO32" i="15"/>
  <c r="AO27" i="15"/>
  <c r="AO14" i="15"/>
  <c r="AO50" i="15"/>
  <c r="AO45" i="15"/>
  <c r="AO40" i="15"/>
  <c r="AO35" i="15"/>
  <c r="AO30" i="15"/>
  <c r="AO26" i="15"/>
  <c r="AO17" i="15"/>
  <c r="D57" i="23"/>
  <c r="D33" i="23"/>
  <c r="D34" i="23"/>
  <c r="D35" i="23"/>
  <c r="D36" i="23"/>
  <c r="D37" i="23"/>
  <c r="D38" i="23"/>
  <c r="D39" i="23"/>
  <c r="D40" i="23"/>
  <c r="D41" i="23"/>
  <c r="D42" i="23"/>
  <c r="D43" i="23"/>
  <c r="D44" i="23"/>
  <c r="D45" i="23"/>
  <c r="D46" i="23"/>
  <c r="D47" i="23"/>
  <c r="D48" i="23"/>
  <c r="D49" i="23"/>
  <c r="D50" i="23"/>
  <c r="D51" i="23"/>
  <c r="D52" i="23"/>
  <c r="D53" i="23"/>
  <c r="D54" i="23"/>
  <c r="D55" i="23"/>
  <c r="D56" i="23"/>
  <c r="D58" i="23"/>
  <c r="D59" i="23"/>
  <c r="D60" i="23"/>
  <c r="D61" i="23"/>
  <c r="D62" i="23"/>
  <c r="D63" i="23"/>
  <c r="D64" i="23"/>
  <c r="D65" i="23"/>
  <c r="D66" i="23"/>
  <c r="D67" i="23"/>
  <c r="D68" i="23"/>
  <c r="D69" i="23"/>
  <c r="D70" i="23"/>
  <c r="D71" i="23"/>
  <c r="D72" i="23"/>
  <c r="D73" i="23"/>
  <c r="D74" i="23"/>
  <c r="D75" i="23"/>
  <c r="D76" i="23"/>
  <c r="D77" i="23"/>
  <c r="D78" i="23"/>
  <c r="D79" i="23"/>
  <c r="D80" i="23"/>
  <c r="D81" i="23"/>
  <c r="D82" i="23"/>
  <c r="D83" i="23"/>
  <c r="D84" i="23"/>
  <c r="T29" i="15" l="1" a="1"/>
  <c r="T29" i="15" s="1"/>
  <c r="Y29" i="15" s="1" a="1"/>
  <c r="Y29" i="15" s="1"/>
  <c r="T34" i="15" a="1"/>
  <c r="T34" i="15" s="1"/>
  <c r="Y34" i="15" s="1" a="1"/>
  <c r="Y34" i="15" s="1"/>
  <c r="T44" i="15" a="1"/>
  <c r="T44" i="15" s="1"/>
  <c r="Y44" i="15" s="1" a="1"/>
  <c r="Y44" i="15" s="1"/>
  <c r="V51" i="15" a="1"/>
  <c r="V51" i="15" s="1"/>
  <c r="Z51" i="15" s="1" a="1"/>
  <c r="Z51" i="15" s="1"/>
  <c r="V17" i="15" a="1"/>
  <c r="V17" i="15" s="1"/>
  <c r="Z17" i="15" s="1" a="1"/>
  <c r="Z17" i="15" s="1"/>
  <c r="V39" i="15" a="1"/>
  <c r="V39" i="15" s="1"/>
  <c r="Z39" i="15" s="1" a="1"/>
  <c r="Z39" i="15" s="1"/>
  <c r="V43" i="15" a="1"/>
  <c r="V43" i="15" s="1"/>
  <c r="Z43" i="15" s="1" a="1"/>
  <c r="Z43" i="15" s="1"/>
  <c r="T49" i="15" a="1"/>
  <c r="T49" i="15" s="1"/>
  <c r="Y49" i="15" s="1" a="1"/>
  <c r="Y49" i="15" s="1"/>
  <c r="T31" i="15" a="1"/>
  <c r="T31" i="15" s="1"/>
  <c r="Y31" i="15" s="1" a="1"/>
  <c r="Y31" i="15" s="1"/>
  <c r="T15" i="15" a="1"/>
  <c r="T15" i="15" s="1"/>
  <c r="Y15" i="15" s="1" a="1"/>
  <c r="Y15" i="15" s="1"/>
  <c r="V30" i="15" a="1"/>
  <c r="V30" i="15" s="1"/>
  <c r="Z30" i="15" s="1" a="1"/>
  <c r="Z30" i="15" s="1"/>
  <c r="V24" i="15" a="1"/>
  <c r="V24" i="15" s="1"/>
  <c r="Z24" i="15" s="1" a="1"/>
  <c r="Z24" i="15" s="1"/>
  <c r="T39" i="15" a="1"/>
  <c r="T39" i="15" s="1"/>
  <c r="Y39" i="15" s="1" a="1"/>
  <c r="Y39" i="15" s="1"/>
  <c r="V35" i="15" a="1"/>
  <c r="V35" i="15" s="1"/>
  <c r="Z35" i="15" s="1" a="1"/>
  <c r="Z35" i="15" s="1"/>
  <c r="T17" i="15" a="1"/>
  <c r="T17" i="15" s="1"/>
  <c r="Y17" i="15" s="1" a="1"/>
  <c r="Y17" i="15" s="1"/>
  <c r="T41" i="15" a="1"/>
  <c r="T41" i="15" s="1"/>
  <c r="Y41" i="15" s="1" a="1"/>
  <c r="Y41" i="15" s="1"/>
  <c r="T23" i="15" a="1"/>
  <c r="T23" i="15" s="1"/>
  <c r="Y23" i="15" s="1" a="1"/>
  <c r="Y23" i="15" s="1"/>
  <c r="V16" i="15" a="1"/>
  <c r="V16" i="15" s="1"/>
  <c r="Z16" i="15" s="1" a="1"/>
  <c r="Z16" i="15" s="1"/>
  <c r="T51" i="15" a="1"/>
  <c r="T51" i="15" s="1"/>
  <c r="Y51" i="15" s="1" a="1"/>
  <c r="Y51" i="15" s="1"/>
  <c r="T27" i="15" a="1"/>
  <c r="T27" i="15" s="1"/>
  <c r="Y27" i="15" s="1" a="1"/>
  <c r="Y27" i="15" s="1"/>
  <c r="V40" i="15" a="1"/>
  <c r="V40" i="15" s="1"/>
  <c r="Z40" i="15" s="1" a="1"/>
  <c r="Z40" i="15" s="1"/>
  <c r="T46" i="15" a="1"/>
  <c r="T46" i="15" s="1"/>
  <c r="Y46" i="15" s="1" a="1"/>
  <c r="Y46" i="15" s="1"/>
  <c r="V26" i="15" a="1"/>
  <c r="V26" i="15" s="1"/>
  <c r="Z26" i="15" s="1" a="1"/>
  <c r="Z26" i="15" s="1"/>
  <c r="T40" i="15" a="1"/>
  <c r="T40" i="15" s="1"/>
  <c r="Y40" i="15" s="1" a="1"/>
  <c r="Y40" i="15" s="1"/>
  <c r="T32" i="15" a="1"/>
  <c r="T32" i="15" s="1"/>
  <c r="Y32" i="15" s="1" a="1"/>
  <c r="Y32" i="15" s="1"/>
  <c r="V14" i="15" a="1"/>
  <c r="V14" i="15" s="1"/>
  <c r="Z14" i="15" s="1" a="1"/>
  <c r="Z14" i="15" s="1"/>
  <c r="T38" i="15" a="1"/>
  <c r="T38" i="15" s="1"/>
  <c r="Y38" i="15" s="1" a="1"/>
  <c r="Y38" i="15" s="1"/>
  <c r="T21" i="15" a="1"/>
  <c r="T21" i="15" s="1"/>
  <c r="Y21" i="15" s="1" a="1"/>
  <c r="Y21" i="15" s="1"/>
  <c r="V28" i="15" a="1"/>
  <c r="V28" i="15" s="1"/>
  <c r="Z28" i="15" s="1" a="1"/>
  <c r="Z28" i="15" s="1"/>
  <c r="V27" i="15" a="1"/>
  <c r="V27" i="15" s="1"/>
  <c r="Z27" i="15" s="1" a="1"/>
  <c r="Z27" i="15" s="1"/>
  <c r="T48" i="15" a="1"/>
  <c r="T48" i="15" s="1"/>
  <c r="Y48" i="15" s="1" a="1"/>
  <c r="Y48" i="15" s="1"/>
  <c r="V18" i="15" a="1"/>
  <c r="V18" i="15" s="1"/>
  <c r="Z18" i="15" s="1" a="1"/>
  <c r="Z18" i="15" s="1"/>
  <c r="T37" i="15" a="1"/>
  <c r="T37" i="15" s="1"/>
  <c r="Y37" i="15" s="1" a="1"/>
  <c r="Y37" i="15" s="1"/>
  <c r="V44" i="15" a="1"/>
  <c r="V44" i="15" s="1"/>
  <c r="Z44" i="15" s="1" a="1"/>
  <c r="Z44" i="15" s="1"/>
  <c r="T19" i="15" a="1"/>
  <c r="T19" i="15" s="1"/>
  <c r="Y19" i="15" s="1" a="1"/>
  <c r="Y19" i="15" s="1"/>
  <c r="V36" i="15" a="1"/>
  <c r="V36" i="15" s="1"/>
  <c r="Z36" i="15" s="1" a="1"/>
  <c r="Z36" i="15" s="1"/>
  <c r="T42" i="15" a="1"/>
  <c r="T42" i="15" s="1"/>
  <c r="Y42" i="15" s="1" a="1"/>
  <c r="Y42" i="15" s="1"/>
  <c r="V21" i="15" a="1"/>
  <c r="V21" i="15" s="1"/>
  <c r="Z21" i="15" s="1" a="1"/>
  <c r="Z21" i="15" s="1"/>
  <c r="T16" i="15" a="1"/>
  <c r="T16" i="15" s="1"/>
  <c r="Y16" i="15" s="1" a="1"/>
  <c r="Y16" i="15" s="1"/>
  <c r="T53" i="15" a="1"/>
  <c r="T53" i="15" s="1"/>
  <c r="V50" i="15" a="1"/>
  <c r="V50" i="15" s="1"/>
  <c r="Z50" i="15" s="1" a="1"/>
  <c r="Z50" i="15" s="1"/>
  <c r="T28" i="15" a="1"/>
  <c r="T28" i="15" s="1"/>
  <c r="Y28" i="15" s="1" a="1"/>
  <c r="Y28" i="15" s="1"/>
  <c r="V23" i="15" a="1"/>
  <c r="V23" i="15" s="1"/>
  <c r="Z23" i="15" s="1" a="1"/>
  <c r="Z23" i="15" s="1"/>
  <c r="V33" i="15" a="1"/>
  <c r="V33" i="15" s="1"/>
  <c r="Z33" i="15" s="1" a="1"/>
  <c r="Z33" i="15" s="1"/>
  <c r="T50" i="15" a="1"/>
  <c r="T50" i="15" s="1"/>
  <c r="Y50" i="15" s="1" a="1"/>
  <c r="Y50" i="15" s="1"/>
  <c r="T35" i="15" a="1"/>
  <c r="T35" i="15" s="1"/>
  <c r="Y35" i="15" s="1" a="1"/>
  <c r="Y35" i="15" s="1"/>
  <c r="T43" i="15" a="1"/>
  <c r="T43" i="15" s="1"/>
  <c r="Y43" i="15" s="1" a="1"/>
  <c r="Y43" i="15" s="1"/>
  <c r="V53" i="15" a="1"/>
  <c r="V53" i="15" s="1"/>
  <c r="BN53" i="15" s="1"/>
  <c r="V41" i="15" a="1"/>
  <c r="V41" i="15" s="1"/>
  <c r="Z41" i="15" s="1" a="1"/>
  <c r="Z41" i="15" s="1"/>
  <c r="T45" i="15" a="1"/>
  <c r="T45" i="15" s="1"/>
  <c r="Y45" i="15" s="1" a="1"/>
  <c r="Y45" i="15" s="1"/>
  <c r="T47" i="15" a="1"/>
  <c r="T47" i="15" s="1"/>
  <c r="Y47" i="15" s="1" a="1"/>
  <c r="Y47" i="15" s="1"/>
  <c r="V45" i="15" a="1"/>
  <c r="V45" i="15" s="1"/>
  <c r="Z45" i="15" s="1" a="1"/>
  <c r="Z45" i="15" s="1"/>
  <c r="V47" i="15" a="1"/>
  <c r="V47" i="15" s="1"/>
  <c r="Z47" i="15" s="1" a="1"/>
  <c r="Z47" i="15" s="1"/>
  <c r="T18" i="15" a="1"/>
  <c r="T18" i="15" s="1"/>
  <c r="Y18" i="15" s="1" a="1"/>
  <c r="Y18" i="15" s="1"/>
  <c r="V19" i="15" a="1"/>
  <c r="V19" i="15" s="1"/>
  <c r="Z19" i="15" s="1" a="1"/>
  <c r="Z19" i="15" s="1"/>
  <c r="T26" i="15" a="1"/>
  <c r="T26" i="15" s="1"/>
  <c r="Y26" i="15" s="1" a="1"/>
  <c r="Y26" i="15" s="1"/>
  <c r="V37" i="15" a="1"/>
  <c r="V37" i="15" s="1"/>
  <c r="Z37" i="15" s="1" a="1"/>
  <c r="Z37" i="15" s="1"/>
  <c r="V52" i="15" a="1"/>
  <c r="V52" i="15" s="1"/>
  <c r="Z52" i="15" s="1" a="1"/>
  <c r="Z52" i="15" s="1"/>
  <c r="V49" i="15" a="1"/>
  <c r="V49" i="15" s="1"/>
  <c r="Z49" i="15" s="1" a="1"/>
  <c r="Z49" i="15" s="1"/>
  <c r="T22" i="15" a="1"/>
  <c r="T22" i="15" s="1"/>
  <c r="Y22" i="15" s="1" a="1"/>
  <c r="Y22" i="15" s="1"/>
  <c r="T33" i="15" a="1"/>
  <c r="T33" i="15" s="1"/>
  <c r="Y33" i="15" s="1" a="1"/>
  <c r="Y33" i="15" s="1"/>
  <c r="V46" i="15" a="1"/>
  <c r="V46" i="15" s="1"/>
  <c r="Z46" i="15" s="1" a="1"/>
  <c r="Z46" i="15" s="1"/>
  <c r="V32" i="15" a="1"/>
  <c r="V32" i="15" s="1"/>
  <c r="Z32" i="15" s="1" a="1"/>
  <c r="Z32" i="15" s="1"/>
  <c r="V42" i="15" a="1"/>
  <c r="V42" i="15" s="1"/>
  <c r="Z42" i="15" s="1" a="1"/>
  <c r="Z42" i="15" s="1"/>
  <c r="V31" i="15" a="1"/>
  <c r="V31" i="15" s="1"/>
  <c r="Z31" i="15" s="1" a="1"/>
  <c r="Z31" i="15" s="1"/>
  <c r="T52" i="15" a="1"/>
  <c r="T52" i="15" s="1"/>
  <c r="Y52" i="15" s="1" a="1"/>
  <c r="Y52" i="15" s="1"/>
  <c r="T30" i="15" a="1"/>
  <c r="T30" i="15" s="1"/>
  <c r="Y30" i="15" s="1" a="1"/>
  <c r="Y30" i="15" s="1"/>
  <c r="V22" i="15" a="1"/>
  <c r="V22" i="15" s="1"/>
  <c r="Z22" i="15" s="1" a="1"/>
  <c r="Z22" i="15" s="1"/>
  <c r="V25" i="15" a="1"/>
  <c r="V25" i="15" s="1"/>
  <c r="Z25" i="15" s="1" a="1"/>
  <c r="Z25" i="15" s="1"/>
  <c r="V15" i="15" a="1"/>
  <c r="V15" i="15" s="1"/>
  <c r="Z15" i="15" s="1" a="1"/>
  <c r="Z15" i="15" s="1"/>
  <c r="T14" i="15" a="1"/>
  <c r="T14" i="15" s="1"/>
  <c r="Y14" i="15" s="1" a="1"/>
  <c r="Y14" i="15" s="1"/>
  <c r="V20" i="15" a="1"/>
  <c r="V20" i="15" s="1"/>
  <c r="Z20" i="15" s="1" a="1"/>
  <c r="Z20" i="15" s="1"/>
  <c r="V29" i="15" a="1"/>
  <c r="V29" i="15" s="1"/>
  <c r="Z29" i="15" s="1" a="1"/>
  <c r="Z29" i="15" s="1"/>
  <c r="V34" i="15" a="1"/>
  <c r="V34" i="15" s="1"/>
  <c r="Z34" i="15" s="1" a="1"/>
  <c r="Z34" i="15" s="1"/>
  <c r="T24" i="15" a="1"/>
  <c r="T24" i="15" s="1"/>
  <c r="Y24" i="15" s="1" a="1"/>
  <c r="Y24" i="15" s="1"/>
  <c r="T36" i="15" a="1"/>
  <c r="T36" i="15" s="1"/>
  <c r="Y36" i="15" s="1" a="1"/>
  <c r="Y36" i="15" s="1"/>
  <c r="V48" i="15" a="1"/>
  <c r="V48" i="15" s="1"/>
  <c r="Z48" i="15" s="1" a="1"/>
  <c r="Z48" i="15" s="1"/>
  <c r="V38" i="15" a="1"/>
  <c r="V38" i="15" s="1"/>
  <c r="Z38" i="15" s="1" a="1"/>
  <c r="Z38" i="15" s="1"/>
  <c r="T20" i="15" a="1"/>
  <c r="T20" i="15" s="1"/>
  <c r="Y20" i="15" s="1" a="1"/>
  <c r="Y20" i="15" s="1"/>
  <c r="W22" i="15" a="1"/>
  <c r="W22" i="15" s="1"/>
  <c r="W24" i="15" a="1"/>
  <c r="W24" i="15" s="1"/>
  <c r="W23" i="15" a="1"/>
  <c r="W23" i="15" s="1"/>
  <c r="Y25" i="15" a="1"/>
  <c r="Y25" i="15" s="1"/>
  <c r="W20" i="15" a="1"/>
  <c r="W20" i="15" s="1"/>
  <c r="W41" i="15" a="1"/>
  <c r="W41" i="15" s="1"/>
  <c r="W33" i="15" a="1"/>
  <c r="W33" i="15" s="1"/>
  <c r="W32" i="15" a="1"/>
  <c r="W32" i="15" s="1"/>
  <c r="W19" i="15" a="1"/>
  <c r="W19" i="15" s="1"/>
  <c r="W38" i="15" a="1"/>
  <c r="W38" i="15" s="1"/>
  <c r="W40" i="15" a="1"/>
  <c r="W40" i="15" s="1"/>
  <c r="W47" i="15" a="1"/>
  <c r="W47" i="15" s="1"/>
  <c r="W14" i="15" a="1"/>
  <c r="W14" i="15" s="1"/>
  <c r="W45" i="15" a="1"/>
  <c r="W45" i="15" s="1"/>
  <c r="W50" i="15" a="1"/>
  <c r="W50" i="15" s="1"/>
  <c r="W26" i="15" a="1"/>
  <c r="W26" i="15" s="1"/>
  <c r="W16" i="15" a="1"/>
  <c r="W16" i="15" s="1"/>
  <c r="W49" i="15" a="1"/>
  <c r="W49" i="15" s="1"/>
  <c r="W37" i="15" a="1"/>
  <c r="W37" i="15" s="1"/>
  <c r="W46" i="15" a="1"/>
  <c r="W46" i="15" s="1"/>
  <c r="W51" i="15" a="1"/>
  <c r="W51" i="15" s="1"/>
  <c r="W43" i="15" a="1"/>
  <c r="W43" i="15" s="1"/>
  <c r="W30" i="15" a="1"/>
  <c r="W30" i="15" s="1"/>
  <c r="W52" i="15" a="1"/>
  <c r="W52" i="15" s="1"/>
  <c r="W39" i="15" a="1"/>
  <c r="W39" i="15" s="1"/>
  <c r="W29" i="15" a="1"/>
  <c r="W29" i="15" s="1"/>
  <c r="W42" i="15" a="1"/>
  <c r="W42" i="15" s="1"/>
  <c r="W27" i="15" a="1"/>
  <c r="W27" i="15" s="1"/>
  <c r="W31" i="15" a="1"/>
  <c r="W31" i="15" s="1"/>
  <c r="W28" i="15" a="1"/>
  <c r="W28" i="15" s="1"/>
  <c r="W48" i="15" a="1"/>
  <c r="W48" i="15" s="1"/>
  <c r="W34" i="15" a="1"/>
  <c r="W34" i="15" s="1"/>
  <c r="W35" i="15" a="1"/>
  <c r="W35" i="15" s="1"/>
  <c r="W36" i="15" a="1"/>
  <c r="W36" i="15" s="1"/>
  <c r="W44" i="15" a="1"/>
  <c r="W44" i="15" s="1"/>
  <c r="W18" i="15" a="1"/>
  <c r="W18" i="15" s="1"/>
  <c r="BA15" i="15"/>
  <c r="BH22" i="15"/>
  <c r="CD22" i="15"/>
  <c r="BH24" i="15"/>
  <c r="CD24" i="15"/>
  <c r="BH25" i="15"/>
  <c r="CD25" i="15"/>
  <c r="BH23" i="15"/>
  <c r="CD23" i="15"/>
  <c r="BL25" i="15"/>
  <c r="CN25" i="15"/>
  <c r="CD21" i="15"/>
  <c r="BH21" i="15"/>
  <c r="CG21" i="15"/>
  <c r="BH16" i="15"/>
  <c r="CF16" i="15"/>
  <c r="BH14" i="15"/>
  <c r="CF14" i="15"/>
  <c r="BH17" i="15"/>
  <c r="CF17" i="15"/>
  <c r="BH15" i="15"/>
  <c r="CF15" i="15"/>
  <c r="BO17" i="15"/>
  <c r="BB17" i="15"/>
  <c r="BO15" i="15"/>
  <c r="BB15" i="15"/>
  <c r="BK20" i="15"/>
  <c r="CV17" i="15"/>
  <c r="CG17" i="15"/>
  <c r="BG17" i="15"/>
  <c r="CG15" i="15"/>
  <c r="BG15" i="15"/>
  <c r="BR16" i="15"/>
  <c r="BB16" i="15"/>
  <c r="BM18" i="15"/>
  <c r="BK15" i="15"/>
  <c r="BK17" i="15"/>
  <c r="CD15" i="15"/>
  <c r="CD17" i="15"/>
  <c r="D27" i="23"/>
  <c r="D26" i="23"/>
  <c r="D25" i="23"/>
  <c r="D24" i="23"/>
  <c r="D23" i="23"/>
  <c r="D22" i="23"/>
  <c r="D17" i="23"/>
  <c r="D10" i="23"/>
  <c r="W15" i="15" l="1" a="1"/>
  <c r="W15" i="15" s="1"/>
  <c r="W21" i="15" a="1"/>
  <c r="W21" i="15" s="1"/>
  <c r="W53" i="15" a="1"/>
  <c r="W53" i="15" s="1"/>
  <c r="W25" i="15" a="1"/>
  <c r="W25" i="15" s="1"/>
  <c r="BE15" i="15"/>
  <c r="BM14" i="15"/>
  <c r="CN21" i="15"/>
  <c r="BL23" i="15"/>
  <c r="CN23" i="15"/>
  <c r="BL24" i="15"/>
  <c r="CN24" i="15"/>
  <c r="CN22" i="15"/>
  <c r="BL22" i="15"/>
  <c r="CS23" i="15"/>
  <c r="CS24" i="15"/>
  <c r="CS25" i="15"/>
  <c r="CS22" i="15"/>
  <c r="CS21" i="15"/>
  <c r="CP18" i="15"/>
  <c r="BN36" i="15"/>
  <c r="CU18" i="15"/>
  <c r="BN44" i="15"/>
  <c r="BN24" i="15"/>
  <c r="BN22" i="15"/>
  <c r="BN30" i="15"/>
  <c r="BN32" i="15"/>
  <c r="BN50" i="15"/>
  <c r="BN48" i="15"/>
  <c r="CP14" i="15"/>
  <c r="BN27" i="15"/>
  <c r="BN42" i="15"/>
  <c r="CP19" i="15"/>
  <c r="BN52" i="15"/>
  <c r="BN26" i="15"/>
  <c r="CU14" i="15"/>
  <c r="BN31" i="15"/>
  <c r="BN40" i="15"/>
  <c r="BN46" i="15"/>
  <c r="BN34" i="15"/>
  <c r="BN28" i="15"/>
  <c r="BN29" i="15"/>
  <c r="CV21" i="15"/>
  <c r="CP15" i="15"/>
  <c r="CU15" i="15"/>
  <c r="CU17" i="15"/>
  <c r="CP20" i="15"/>
  <c r="BN25" i="15"/>
  <c r="CP17" i="15"/>
  <c r="BN43" i="15"/>
  <c r="CU19" i="15"/>
  <c r="BN23" i="15"/>
  <c r="BN38" i="15"/>
  <c r="BL21" i="15"/>
  <c r="BH19" i="15"/>
  <c r="CF19" i="15"/>
  <c r="CS16" i="15"/>
  <c r="CU16" i="15"/>
  <c r="BH20" i="15"/>
  <c r="CF20" i="15"/>
  <c r="BH18" i="15"/>
  <c r="CF18" i="15"/>
  <c r="BM20" i="15"/>
  <c r="CU20" i="15"/>
  <c r="CP16" i="15"/>
  <c r="CD20" i="15"/>
  <c r="BO20" i="15"/>
  <c r="BB20" i="15"/>
  <c r="BO19" i="15"/>
  <c r="BB19" i="15"/>
  <c r="BY18" i="15"/>
  <c r="BG18" i="15"/>
  <c r="BB18" i="15"/>
  <c r="BO18" i="15"/>
  <c r="BY20" i="15"/>
  <c r="BY17" i="15"/>
  <c r="BY15" i="15"/>
  <c r="BY14" i="15"/>
  <c r="BY19" i="15"/>
  <c r="CD18" i="15"/>
  <c r="BK19" i="15"/>
  <c r="BK18" i="15"/>
  <c r="BG20" i="15"/>
  <c r="CD19" i="15"/>
  <c r="BG19" i="15"/>
  <c r="CS19" i="15"/>
  <c r="BM19" i="15"/>
  <c r="BL19" i="15"/>
  <c r="CN19" i="15"/>
  <c r="BL20" i="15"/>
  <c r="CN20" i="15"/>
  <c r="BL18" i="15"/>
  <c r="CN18" i="15"/>
  <c r="BN18" i="15"/>
  <c r="CS18" i="15"/>
  <c r="BN20" i="15"/>
  <c r="CS20" i="15"/>
  <c r="BY16" i="15"/>
  <c r="BK16" i="15"/>
  <c r="CD14" i="15"/>
  <c r="BG14" i="15"/>
  <c r="CD16" i="15"/>
  <c r="BG16" i="15"/>
  <c r="BA16" i="15"/>
  <c r="BO16" i="15"/>
  <c r="BA14" i="15"/>
  <c r="BO14" i="15"/>
  <c r="BB14" i="15"/>
  <c r="BR14" i="15"/>
  <c r="BM17" i="15"/>
  <c r="CB14" i="15"/>
  <c r="BE14" i="15"/>
  <c r="CV16" i="15"/>
  <c r="BM16" i="15"/>
  <c r="CV15" i="15"/>
  <c r="BM15" i="15"/>
  <c r="CB16" i="15"/>
  <c r="BE16" i="15"/>
  <c r="CS14" i="15"/>
  <c r="CV14" i="15"/>
  <c r="BN17" i="15"/>
  <c r="CS17" i="15"/>
  <c r="BN15" i="15"/>
  <c r="CS15" i="15"/>
  <c r="BN45" i="15"/>
  <c r="BN37" i="15"/>
  <c r="BN21" i="15"/>
  <c r="BN14" i="15"/>
  <c r="BN49" i="15"/>
  <c r="BN41" i="15"/>
  <c r="BN19" i="15"/>
  <c r="BN16" i="15"/>
  <c r="BN33" i="15"/>
  <c r="BN35" i="15"/>
  <c r="BN51" i="15"/>
  <c r="BN47" i="15"/>
  <c r="BN39" i="15"/>
  <c r="K57" i="17"/>
  <c r="G6" i="11" l="1"/>
  <c r="G5" i="11"/>
  <c r="F6" i="11"/>
  <c r="F5" i="11"/>
  <c r="J23" i="17"/>
  <c r="I23" i="17"/>
  <c r="H23" i="17"/>
  <c r="BF53" i="15"/>
  <c r="BF52" i="15"/>
  <c r="BF51" i="15"/>
  <c r="BF50" i="15"/>
  <c r="BF49" i="15"/>
  <c r="BF46" i="15"/>
  <c r="BF43" i="15"/>
  <c r="BF42" i="15"/>
  <c r="BF41" i="15"/>
  <c r="BF40" i="15"/>
  <c r="BF27" i="15"/>
  <c r="BF25" i="15"/>
  <c r="A86" i="11"/>
  <c r="A87" i="11"/>
  <c r="A90" i="11"/>
  <c r="A91" i="11"/>
  <c r="A92" i="11"/>
  <c r="A93" i="11"/>
  <c r="H57" i="17"/>
  <c r="I57" i="17"/>
  <c r="J57" i="17"/>
  <c r="CQ19" i="15"/>
  <c r="CQ20" i="15"/>
  <c r="CQ21" i="15"/>
  <c r="CQ23" i="15"/>
  <c r="CQ24" i="15"/>
  <c r="CQ25" i="15"/>
  <c r="CQ26" i="15"/>
  <c r="CQ27" i="15"/>
  <c r="CQ28" i="15"/>
  <c r="CQ29" i="15"/>
  <c r="CQ30" i="15"/>
  <c r="CQ31" i="15"/>
  <c r="CQ32" i="15"/>
  <c r="CQ33" i="15"/>
  <c r="CQ34" i="15"/>
  <c r="CQ35" i="15"/>
  <c r="CQ36" i="15"/>
  <c r="CQ37" i="15"/>
  <c r="CQ38" i="15"/>
  <c r="CQ39" i="15"/>
  <c r="CQ40" i="15"/>
  <c r="CQ41" i="15"/>
  <c r="CQ42" i="15"/>
  <c r="CQ43" i="15"/>
  <c r="CQ44" i="15"/>
  <c r="CQ45" i="15"/>
  <c r="CQ46" i="15"/>
  <c r="CQ47" i="15"/>
  <c r="CQ48" i="15"/>
  <c r="CQ49" i="15"/>
  <c r="CQ50" i="15"/>
  <c r="CQ51" i="15"/>
  <c r="CQ53" i="15"/>
  <c r="BF45" i="15"/>
  <c r="BF14" i="15"/>
  <c r="BF44" i="15"/>
  <c r="BF47" i="15"/>
  <c r="CQ52" i="15"/>
  <c r="BF48" i="15"/>
  <c r="BF26" i="15"/>
  <c r="BF32" i="15"/>
  <c r="BF35" i="15"/>
  <c r="BF29" i="15"/>
  <c r="BF36" i="15"/>
  <c r="BF30" i="15"/>
  <c r="BF38" i="15"/>
  <c r="BF28" i="15"/>
  <c r="BF39" i="15"/>
  <c r="BF34" i="15"/>
  <c r="BF33" i="15"/>
  <c r="BF31" i="15"/>
  <c r="BF37" i="15"/>
  <c r="AZ50" i="15"/>
  <c r="AZ37" i="15"/>
  <c r="AZ21" i="15"/>
  <c r="AZ32" i="15"/>
  <c r="AZ22" i="15"/>
  <c r="AZ16" i="15"/>
  <c r="AZ24" i="15"/>
  <c r="AZ40" i="15"/>
  <c r="AZ20" i="15"/>
  <c r="AZ11" i="15"/>
  <c r="AZ33" i="15"/>
  <c r="AZ12" i="15"/>
  <c r="AZ35" i="15"/>
  <c r="AZ27" i="15"/>
  <c r="AZ28" i="15"/>
  <c r="AZ44" i="15"/>
  <c r="AZ31" i="15"/>
  <c r="AZ53" i="15"/>
  <c r="AZ30" i="15"/>
  <c r="AZ42" i="15"/>
  <c r="AZ15" i="15"/>
  <c r="AZ19" i="15"/>
  <c r="AZ38" i="15"/>
  <c r="AZ46" i="15"/>
  <c r="AZ10" i="15"/>
  <c r="AZ26" i="15"/>
  <c r="AZ47" i="15"/>
  <c r="AZ29" i="15"/>
  <c r="AZ39" i="15"/>
  <c r="AZ41" i="15"/>
  <c r="AZ13" i="15"/>
  <c r="AZ23" i="15"/>
  <c r="AZ18" i="15"/>
  <c r="AZ49" i="15"/>
  <c r="AZ45" i="15"/>
  <c r="AZ52" i="15"/>
  <c r="AZ48" i="15"/>
  <c r="AZ51" i="15"/>
  <c r="AZ14" i="15"/>
  <c r="AZ34" i="15"/>
  <c r="AZ25" i="15"/>
  <c r="AZ17" i="15"/>
  <c r="AZ36" i="15"/>
  <c r="AZ43" i="15"/>
  <c r="AR13" i="15" l="1"/>
  <c r="AT13" i="15"/>
  <c r="AS13" i="15"/>
  <c r="AM12" i="15"/>
  <c r="R12" i="15" s="1" a="1"/>
  <c r="R12" i="15" s="1"/>
  <c r="AM13" i="15"/>
  <c r="R13" i="15" s="1" a="1"/>
  <c r="R13" i="15" s="1"/>
  <c r="AM11" i="15"/>
  <c r="R11" i="15" s="1" a="1"/>
  <c r="R11" i="15" s="1"/>
  <c r="BS11" i="15" s="1"/>
  <c r="AQ37" i="15"/>
  <c r="S37" i="15" s="1" a="1"/>
  <c r="S37" i="15" s="1"/>
  <c r="AT10" i="15"/>
  <c r="AR10" i="15"/>
  <c r="AS12" i="15"/>
  <c r="AQ41" i="15"/>
  <c r="S41" i="15" s="1" a="1"/>
  <c r="S41" i="15" s="1"/>
  <c r="AP11" i="15"/>
  <c r="AQ35" i="15"/>
  <c r="S35" i="15" s="1" a="1"/>
  <c r="S35" i="15" s="1"/>
  <c r="AQ52" i="15"/>
  <c r="S52" i="15" s="1" a="1"/>
  <c r="S52" i="15" s="1"/>
  <c r="AQ33" i="15"/>
  <c r="S33" i="15" s="1" a="1"/>
  <c r="S33" i="15" s="1"/>
  <c r="AQ28" i="15"/>
  <c r="S28" i="15" s="1" a="1"/>
  <c r="S28" i="15" s="1"/>
  <c r="AQ36" i="15"/>
  <c r="S36" i="15" s="1" a="1"/>
  <c r="S36" i="15" s="1"/>
  <c r="AQ25" i="15"/>
  <c r="S25" i="15" s="1" a="1"/>
  <c r="S25" i="15" s="1"/>
  <c r="AQ14" i="15"/>
  <c r="S14" i="15" s="1" a="1"/>
  <c r="S14" i="15" s="1"/>
  <c r="AQ46" i="15"/>
  <c r="S46" i="15" s="1" a="1"/>
  <c r="S46" i="15" s="1"/>
  <c r="AQ42" i="15"/>
  <c r="S42" i="15" s="1" a="1"/>
  <c r="S42" i="15" s="1"/>
  <c r="AP10" i="15"/>
  <c r="AQ31" i="15"/>
  <c r="S31" i="15" s="1" a="1"/>
  <c r="S31" i="15" s="1"/>
  <c r="AP13" i="15"/>
  <c r="AQ23" i="15"/>
  <c r="S23" i="15" s="1" a="1"/>
  <c r="S23" i="15" s="1"/>
  <c r="AQ18" i="15"/>
  <c r="S18" i="15" s="1" a="1"/>
  <c r="S18" i="15" s="1"/>
  <c r="AT11" i="15"/>
  <c r="AR11" i="15"/>
  <c r="AQ38" i="15"/>
  <c r="S38" i="15" s="1" a="1"/>
  <c r="S38" i="15" s="1"/>
  <c r="AQ45" i="15"/>
  <c r="S45" i="15" s="1" a="1"/>
  <c r="S45" i="15" s="1"/>
  <c r="AQ20" i="15"/>
  <c r="S20" i="15" s="1" a="1"/>
  <c r="S20" i="15" s="1"/>
  <c r="AQ29" i="15"/>
  <c r="S29" i="15" s="1" a="1"/>
  <c r="S29" i="15" s="1"/>
  <c r="AO13" i="15"/>
  <c r="AQ26" i="15"/>
  <c r="S26" i="15" s="1" a="1"/>
  <c r="S26" i="15" s="1"/>
  <c r="AQ13" i="15"/>
  <c r="AQ48" i="15"/>
  <c r="S48" i="15" s="1" a="1"/>
  <c r="S48" i="15" s="1"/>
  <c r="AO12" i="15"/>
  <c r="AQ39" i="15"/>
  <c r="S39" i="15" s="1" a="1"/>
  <c r="S39" i="15" s="1"/>
  <c r="AQ22" i="15"/>
  <c r="S22" i="15" s="1" a="1"/>
  <c r="S22" i="15" s="1"/>
  <c r="AS10" i="15"/>
  <c r="AQ10" i="15"/>
  <c r="AQ34" i="15"/>
  <c r="S34" i="15" s="1" a="1"/>
  <c r="S34" i="15" s="1"/>
  <c r="AQ40" i="15"/>
  <c r="S40" i="15" s="1" a="1"/>
  <c r="S40" i="15" s="1"/>
  <c r="AS11" i="15"/>
  <c r="AQ11" i="15"/>
  <c r="AQ53" i="15"/>
  <c r="S53" i="15" s="1" a="1"/>
  <c r="S53" i="15" s="1"/>
  <c r="AQ47" i="15"/>
  <c r="S47" i="15" s="1" a="1"/>
  <c r="S47" i="15" s="1"/>
  <c r="AQ32" i="15"/>
  <c r="S32" i="15" s="1" a="1"/>
  <c r="S32" i="15" s="1"/>
  <c r="AP12" i="15"/>
  <c r="AQ12" i="15"/>
  <c r="AR12" i="15"/>
  <c r="AT12" i="15"/>
  <c r="AQ21" i="15"/>
  <c r="S21" i="15" s="1" a="1"/>
  <c r="S21" i="15" s="1"/>
  <c r="AQ19" i="15"/>
  <c r="S19" i="15" s="1" a="1"/>
  <c r="S19" i="15" s="1"/>
  <c r="AO11" i="15"/>
  <c r="AQ16" i="15"/>
  <c r="S16" i="15" s="1" a="1"/>
  <c r="S16" i="15" s="1"/>
  <c r="AQ44" i="15"/>
  <c r="S44" i="15" s="1" a="1"/>
  <c r="S44" i="15" s="1"/>
  <c r="AO10" i="15"/>
  <c r="AQ15" i="15"/>
  <c r="S15" i="15" s="1" a="1"/>
  <c r="S15" i="15" s="1"/>
  <c r="AQ50" i="15"/>
  <c r="S50" i="15" s="1" a="1"/>
  <c r="S50" i="15" s="1"/>
  <c r="AQ27" i="15"/>
  <c r="S27" i="15" s="1" a="1"/>
  <c r="S27" i="15" s="1"/>
  <c r="AQ49" i="15"/>
  <c r="S49" i="15" s="1" a="1"/>
  <c r="S49" i="15" s="1"/>
  <c r="AQ24" i="15"/>
  <c r="S24" i="15" s="1" a="1"/>
  <c r="S24" i="15" s="1"/>
  <c r="AQ51" i="15"/>
  <c r="S51" i="15" s="1" a="1"/>
  <c r="S51" i="15" s="1"/>
  <c r="AQ17" i="15"/>
  <c r="S17" i="15" s="1" a="1"/>
  <c r="S17" i="15" s="1"/>
  <c r="S13" i="15" l="1" a="1"/>
  <c r="S13" i="15" s="1"/>
  <c r="X13" i="15" s="1" a="1"/>
  <c r="X13" i="15" s="1"/>
  <c r="V10" i="15" a="1"/>
  <c r="V10" i="15" s="1"/>
  <c r="Z10" i="15" s="1" a="1"/>
  <c r="Z10" i="15" s="1"/>
  <c r="V12" i="15" a="1"/>
  <c r="V12" i="15" s="1"/>
  <c r="Z12" i="15" s="1" a="1"/>
  <c r="Z12" i="15" s="1"/>
  <c r="V11" i="15" a="1"/>
  <c r="V11" i="15" s="1"/>
  <c r="V13" i="15" a="1"/>
  <c r="V13" i="15" s="1"/>
  <c r="Z13" i="15" s="1" a="1"/>
  <c r="Z13" i="15" s="1"/>
  <c r="S11" i="15" a="1"/>
  <c r="S11" i="15" s="1"/>
  <c r="BX11" i="15" s="1"/>
  <c r="T13" i="15" a="1"/>
  <c r="T13" i="15" s="1"/>
  <c r="S12" i="15" a="1"/>
  <c r="S12" i="15" s="1"/>
  <c r="T12" i="15" a="1"/>
  <c r="T12" i="15" s="1"/>
  <c r="Y12" i="15" s="1" a="1"/>
  <c r="Y12" i="15" s="1"/>
  <c r="T11" i="15" a="1"/>
  <c r="T11" i="15" s="1"/>
  <c r="CC11" i="15" s="1"/>
  <c r="S10" i="15" a="1"/>
  <c r="S10" i="15" s="1"/>
  <c r="T10" i="15" a="1"/>
  <c r="T10" i="15" s="1"/>
  <c r="Y10" i="15" s="1" a="1"/>
  <c r="Y10" i="15" s="1"/>
  <c r="X48" i="15" a="1"/>
  <c r="X48" i="15" s="1"/>
  <c r="CY22" i="15"/>
  <c r="U22" i="15" s="1"/>
  <c r="X25" i="15" a="1"/>
  <c r="X25" i="15" s="1"/>
  <c r="X41" i="15" a="1"/>
  <c r="X41" i="15" s="1"/>
  <c r="X32" i="15" a="1"/>
  <c r="X32" i="15" s="1"/>
  <c r="X37" i="15" a="1"/>
  <c r="X37" i="15" s="1"/>
  <c r="X49" i="15" a="1"/>
  <c r="X49" i="15" s="1"/>
  <c r="X18" i="15" a="1"/>
  <c r="X18" i="15" s="1"/>
  <c r="X36" i="15" a="1"/>
  <c r="X36" i="15" s="1"/>
  <c r="X33" i="15" a="1"/>
  <c r="X33" i="15" s="1"/>
  <c r="X20" i="15" a="1"/>
  <c r="X20" i="15" s="1"/>
  <c r="CY23" i="15"/>
  <c r="U23" i="15" s="1"/>
  <c r="X50" i="15" a="1"/>
  <c r="X50" i="15" s="1"/>
  <c r="X44" i="15" a="1"/>
  <c r="X44" i="15" s="1"/>
  <c r="X52" i="15" a="1"/>
  <c r="X52" i="15" s="1"/>
  <c r="X17" i="15" a="1"/>
  <c r="X17" i="15" s="1"/>
  <c r="X24" i="15" a="1"/>
  <c r="X24" i="15" s="1"/>
  <c r="X40" i="15" a="1"/>
  <c r="X40" i="15" s="1"/>
  <c r="X31" i="15" a="1"/>
  <c r="X31" i="15" s="1"/>
  <c r="BS13" i="15"/>
  <c r="BQ13" i="15"/>
  <c r="W11" i="15" a="1"/>
  <c r="W11" i="15" s="1"/>
  <c r="CY25" i="15"/>
  <c r="U25" i="15" s="1"/>
  <c r="CY21" i="15"/>
  <c r="U21" i="15" s="1"/>
  <c r="CY42" i="15"/>
  <c r="U42" i="15" s="1"/>
  <c r="BC15" i="15"/>
  <c r="CY15" i="15"/>
  <c r="U15" i="15" s="1"/>
  <c r="CY33" i="15"/>
  <c r="U33" i="15" s="1"/>
  <c r="CY52" i="15"/>
  <c r="U52" i="15" s="1"/>
  <c r="CY29" i="15"/>
  <c r="U29" i="15" s="1"/>
  <c r="CY38" i="15"/>
  <c r="U38" i="15" s="1"/>
  <c r="CY50" i="15"/>
  <c r="U50" i="15" s="1"/>
  <c r="CY36" i="15"/>
  <c r="U36" i="15" s="1"/>
  <c r="CY45" i="15"/>
  <c r="U45" i="15" s="1"/>
  <c r="CY46" i="15"/>
  <c r="U46" i="15" s="1"/>
  <c r="CY48" i="15"/>
  <c r="U48" i="15" s="1"/>
  <c r="CY26" i="15"/>
  <c r="U26" i="15" s="1"/>
  <c r="CY51" i="15"/>
  <c r="U51" i="15" s="1"/>
  <c r="CY40" i="15"/>
  <c r="U40" i="15" s="1"/>
  <c r="CY31" i="15"/>
  <c r="U31" i="15" s="1"/>
  <c r="CY49" i="15"/>
  <c r="U49" i="15" s="1"/>
  <c r="CY34" i="15"/>
  <c r="U34" i="15" s="1"/>
  <c r="CY39" i="15"/>
  <c r="U39" i="15" s="1"/>
  <c r="BP10" i="15"/>
  <c r="CK15" i="15"/>
  <c r="CK17" i="15"/>
  <c r="CH10" i="15"/>
  <c r="CF10" i="15"/>
  <c r="BQ10" i="15"/>
  <c r="CL21" i="15"/>
  <c r="CF13" i="15"/>
  <c r="CF12" i="15"/>
  <c r="BT15" i="15"/>
  <c r="BD15" i="15"/>
  <c r="BT17" i="15"/>
  <c r="BD17" i="15"/>
  <c r="CE11" i="15"/>
  <c r="CE10" i="15"/>
  <c r="BH10" i="15"/>
  <c r="CY18" i="15"/>
  <c r="U18" i="15" s="1"/>
  <c r="CY19" i="15"/>
  <c r="U19" i="15" s="1"/>
  <c r="BI16" i="15"/>
  <c r="BI14" i="15"/>
  <c r="BG12" i="15"/>
  <c r="BG10" i="15"/>
  <c r="BC16" i="15"/>
  <c r="CL15" i="15"/>
  <c r="BI15" i="15"/>
  <c r="BR10" i="15"/>
  <c r="CG13" i="15"/>
  <c r="BG13" i="15"/>
  <c r="CL17" i="15"/>
  <c r="BI17" i="15"/>
  <c r="BW16" i="15"/>
  <c r="BW14" i="15"/>
  <c r="CI15" i="15"/>
  <c r="CR15" i="15"/>
  <c r="CQ22" i="15"/>
  <c r="CQ18" i="15"/>
  <c r="BF15" i="15"/>
  <c r="BF21" i="15"/>
  <c r="AQ43" i="15"/>
  <c r="S43" i="15" s="1" a="1"/>
  <c r="S43" i="15" s="1"/>
  <c r="AQ30" i="15"/>
  <c r="S30" i="15" s="1" a="1"/>
  <c r="S30" i="15" s="1"/>
  <c r="Z11" i="15" l="1" a="1"/>
  <c r="Z11" i="15" s="1"/>
  <c r="CW11" i="15"/>
  <c r="X10" i="15" a="1"/>
  <c r="X10" i="15" s="1"/>
  <c r="Y11" i="15" a="1"/>
  <c r="Y11" i="15" s="1"/>
  <c r="X12" i="15" a="1"/>
  <c r="X12" i="15" s="1"/>
  <c r="Y13" i="15" a="1"/>
  <c r="Y13" i="15" s="1"/>
  <c r="W12" i="15" a="1"/>
  <c r="W12" i="15" s="1"/>
  <c r="X38" i="15" a="1"/>
  <c r="X38" i="15" s="1"/>
  <c r="CY37" i="15"/>
  <c r="U37" i="15" s="1"/>
  <c r="X51" i="15" a="1"/>
  <c r="X51" i="15" s="1"/>
  <c r="X21" i="15" a="1"/>
  <c r="X21" i="15" s="1"/>
  <c r="W13" i="15" a="1"/>
  <c r="W13" i="15" s="1"/>
  <c r="CY47" i="15"/>
  <c r="U47" i="15" s="1"/>
  <c r="CG12" i="15"/>
  <c r="CY35" i="15"/>
  <c r="U35" i="15" s="1"/>
  <c r="X35" i="15" a="1"/>
  <c r="X35" i="15" s="1"/>
  <c r="X22" i="15" a="1"/>
  <c r="X22" i="15" s="1"/>
  <c r="X16" i="15" a="1"/>
  <c r="X16" i="15" s="1"/>
  <c r="CY41" i="15"/>
  <c r="U41" i="15" s="1"/>
  <c r="CY17" i="15"/>
  <c r="U17" i="15" s="1"/>
  <c r="CY53" i="15"/>
  <c r="U53" i="15" s="1"/>
  <c r="X47" i="15" a="1"/>
  <c r="X47" i="15" s="1"/>
  <c r="BH13" i="15"/>
  <c r="CY44" i="15"/>
  <c r="U44" i="15" s="1"/>
  <c r="X46" i="15" a="1"/>
  <c r="X46" i="15" s="1"/>
  <c r="X28" i="15" a="1"/>
  <c r="X28" i="15" s="1"/>
  <c r="X39" i="15" a="1"/>
  <c r="X39" i="15" s="1"/>
  <c r="X45" i="15" a="1"/>
  <c r="X45" i="15" s="1"/>
  <c r="X15" i="15" a="1"/>
  <c r="X15" i="15" s="1"/>
  <c r="X29" i="15" a="1"/>
  <c r="X29" i="15" s="1"/>
  <c r="CY24" i="15"/>
  <c r="U24" i="15" s="1"/>
  <c r="X27" i="15" a="1"/>
  <c r="X27" i="15" s="1"/>
  <c r="CY32" i="15"/>
  <c r="U32" i="15" s="1"/>
  <c r="X11" i="15" a="1"/>
  <c r="X11" i="15" s="1"/>
  <c r="X14" i="15" a="1"/>
  <c r="X14" i="15" s="1"/>
  <c r="X34" i="15" a="1"/>
  <c r="X34" i="15" s="1"/>
  <c r="X42" i="15" a="1"/>
  <c r="X42" i="15" s="1"/>
  <c r="X26" i="15" a="1"/>
  <c r="X26" i="15" s="1"/>
  <c r="CH13" i="15"/>
  <c r="X19" i="15" a="1"/>
  <c r="X19" i="15" s="1"/>
  <c r="CY27" i="15"/>
  <c r="U27" i="15" s="1"/>
  <c r="CY28" i="15"/>
  <c r="U28" i="15" s="1"/>
  <c r="X53" i="15" a="1"/>
  <c r="X53" i="15" s="1"/>
  <c r="X23" i="15" a="1"/>
  <c r="X23" i="15" s="1"/>
  <c r="CL12" i="15"/>
  <c r="BV11" i="15"/>
  <c r="CM13" i="15"/>
  <c r="BI13" i="15"/>
  <c r="CQ12" i="15"/>
  <c r="CA13" i="15"/>
  <c r="CC13" i="15"/>
  <c r="BV13" i="15"/>
  <c r="BX13" i="15"/>
  <c r="CW13" i="15"/>
  <c r="BR12" i="15"/>
  <c r="CI22" i="15"/>
  <c r="CI21" i="15"/>
  <c r="BJ22" i="15"/>
  <c r="BJ21" i="15"/>
  <c r="BJ23" i="15"/>
  <c r="CI23" i="15"/>
  <c r="CY12" i="15"/>
  <c r="U12" i="15" s="1"/>
  <c r="CI17" i="15"/>
  <c r="BJ25" i="15"/>
  <c r="BJ24" i="15"/>
  <c r="CI25" i="15"/>
  <c r="CI24" i="15"/>
  <c r="CY10" i="15"/>
  <c r="U10" i="15" s="1"/>
  <c r="CY14" i="15"/>
  <c r="U14" i="15" s="1"/>
  <c r="CY20" i="15"/>
  <c r="U20" i="15" s="1"/>
  <c r="BC13" i="15"/>
  <c r="CY13" i="15"/>
  <c r="U13" i="15" s="1"/>
  <c r="CY16" i="15"/>
  <c r="U16" i="15" s="1"/>
  <c r="CY11" i="15"/>
  <c r="U11" i="15" s="1"/>
  <c r="BA10" i="15"/>
  <c r="BC14" i="15"/>
  <c r="BE13" i="15"/>
  <c r="BM13" i="15"/>
  <c r="BB13" i="15"/>
  <c r="BO13" i="15"/>
  <c r="BA13" i="15"/>
  <c r="CA11" i="15"/>
  <c r="BO12" i="15"/>
  <c r="BO11" i="15"/>
  <c r="BZ10" i="15"/>
  <c r="BU10" i="15"/>
  <c r="CF11" i="15"/>
  <c r="BQ11" i="15"/>
  <c r="CM10" i="15"/>
  <c r="CK13" i="15"/>
  <c r="BI12" i="15"/>
  <c r="CR10" i="15"/>
  <c r="BE11" i="15"/>
  <c r="BM12" i="15"/>
  <c r="CK19" i="15"/>
  <c r="BA11" i="15"/>
  <c r="BC11" i="15"/>
  <c r="CU13" i="15"/>
  <c r="BK12" i="15"/>
  <c r="BH12" i="15"/>
  <c r="CK18" i="15"/>
  <c r="CP13" i="15"/>
  <c r="BH11" i="15"/>
  <c r="BX12" i="15"/>
  <c r="CM12" i="15"/>
  <c r="CC12" i="15"/>
  <c r="CR12" i="15"/>
  <c r="BS12" i="15"/>
  <c r="CH12" i="15"/>
  <c r="BA12" i="15"/>
  <c r="BR11" i="15"/>
  <c r="CU12" i="15"/>
  <c r="CW12" i="15"/>
  <c r="BS10" i="15"/>
  <c r="BK10" i="15"/>
  <c r="CC10" i="15"/>
  <c r="BI10" i="15"/>
  <c r="BX10" i="15"/>
  <c r="BM10" i="15"/>
  <c r="CW10" i="15"/>
  <c r="BM11" i="15"/>
  <c r="CV11" i="15"/>
  <c r="CK11" i="15"/>
  <c r="BW11" i="15"/>
  <c r="CP10" i="15"/>
  <c r="CA10" i="15"/>
  <c r="CP11" i="15"/>
  <c r="CB11" i="15"/>
  <c r="CK10" i="15"/>
  <c r="BV10" i="15"/>
  <c r="BJ18" i="15"/>
  <c r="BJ19" i="15"/>
  <c r="CP12" i="15"/>
  <c r="CI14" i="15"/>
  <c r="CK14" i="15"/>
  <c r="BT16" i="15"/>
  <c r="CK16" i="15"/>
  <c r="BJ20" i="15"/>
  <c r="CK20" i="15"/>
  <c r="CK12" i="15"/>
  <c r="BD16" i="15"/>
  <c r="BD14" i="15"/>
  <c r="BI20" i="15"/>
  <c r="BT20" i="15"/>
  <c r="BD20" i="15"/>
  <c r="BY13" i="15"/>
  <c r="BF13" i="15"/>
  <c r="BI19" i="15"/>
  <c r="BT19" i="15"/>
  <c r="BD19" i="15"/>
  <c r="BI18" i="15"/>
  <c r="BD18" i="15"/>
  <c r="BT18" i="15"/>
  <c r="BT14" i="15"/>
  <c r="BT13" i="15"/>
  <c r="BD13" i="15"/>
  <c r="CT11" i="15"/>
  <c r="CU11" i="15"/>
  <c r="CT10" i="15"/>
  <c r="CU10" i="15"/>
  <c r="CJ11" i="15"/>
  <c r="CO11" i="15"/>
  <c r="CO10" i="15"/>
  <c r="CJ10" i="15"/>
  <c r="CI20" i="15"/>
  <c r="CI18" i="15"/>
  <c r="CI19" i="15"/>
  <c r="CI16" i="15"/>
  <c r="CD12" i="15"/>
  <c r="CD10" i="15"/>
  <c r="BE12" i="15"/>
  <c r="CN12" i="15"/>
  <c r="BL12" i="15"/>
  <c r="BC12" i="15"/>
  <c r="BJ12" i="15"/>
  <c r="CI12" i="15"/>
  <c r="BC10" i="15"/>
  <c r="BJ10" i="15"/>
  <c r="CI10" i="15"/>
  <c r="BY10" i="15"/>
  <c r="BL10" i="15"/>
  <c r="CN10" i="15"/>
  <c r="BI11" i="15"/>
  <c r="CI11" i="15"/>
  <c r="BK11" i="15"/>
  <c r="CN11" i="15"/>
  <c r="BG11" i="15"/>
  <c r="CD11" i="15"/>
  <c r="CG11" i="15"/>
  <c r="CQ13" i="15"/>
  <c r="BK13" i="15"/>
  <c r="CB10" i="15"/>
  <c r="BE10" i="15"/>
  <c r="BY12" i="15"/>
  <c r="CB12" i="15"/>
  <c r="CI13" i="15"/>
  <c r="CL13" i="15"/>
  <c r="BT12" i="15"/>
  <c r="BW12" i="15"/>
  <c r="BY11" i="15"/>
  <c r="BL11" i="15"/>
  <c r="BT10" i="15"/>
  <c r="BW10" i="15"/>
  <c r="BT11" i="15"/>
  <c r="BJ11" i="15"/>
  <c r="CL11" i="15"/>
  <c r="CS11" i="15"/>
  <c r="CS10" i="15"/>
  <c r="CV10" i="15"/>
  <c r="CS13" i="15"/>
  <c r="CV13" i="15"/>
  <c r="CS12" i="15"/>
  <c r="CV12" i="15"/>
  <c r="BL17" i="15"/>
  <c r="CN17" i="15"/>
  <c r="BL13" i="15"/>
  <c r="CN13" i="15"/>
  <c r="BL16" i="15"/>
  <c r="CN16" i="15"/>
  <c r="BL15" i="15"/>
  <c r="CN15" i="15"/>
  <c r="BL14" i="15"/>
  <c r="CN14" i="15"/>
  <c r="CD13" i="15"/>
  <c r="BB10" i="15"/>
  <c r="BO10" i="15"/>
  <c r="BN13" i="15"/>
  <c r="BN10" i="15"/>
  <c r="BN12" i="15"/>
  <c r="BN11" i="15"/>
  <c r="BJ13" i="15"/>
  <c r="BJ17" i="15"/>
  <c r="BJ16" i="15"/>
  <c r="BJ14" i="15"/>
  <c r="BJ15" i="15"/>
  <c r="BD11" i="15"/>
  <c r="BD12" i="15"/>
  <c r="BD10" i="15"/>
  <c r="BB12" i="15"/>
  <c r="BB11" i="15"/>
  <c r="CQ14" i="15"/>
  <c r="CQ15" i="15"/>
  <c r="CQ17" i="15"/>
  <c r="CR16" i="15"/>
  <c r="CR14" i="15"/>
  <c r="CR17" i="15"/>
  <c r="CR13" i="15"/>
  <c r="CQ11" i="15"/>
  <c r="BF12" i="15"/>
  <c r="BF17" i="15"/>
  <c r="BF16" i="15"/>
  <c r="BF11" i="15"/>
  <c r="CQ10" i="15"/>
  <c r="BF24" i="15"/>
  <c r="BF23" i="15"/>
  <c r="BF22" i="15"/>
  <c r="BF20" i="15"/>
  <c r="BF18" i="15"/>
  <c r="BF19" i="15"/>
  <c r="CQ16" i="15"/>
  <c r="BF10" i="15"/>
  <c r="CH54" i="15" l="1"/>
  <c r="D64" i="17" s="1"/>
  <c r="X43" i="15" a="1"/>
  <c r="X43" i="15" s="1"/>
  <c r="X30" i="15" a="1"/>
  <c r="X30" i="15" s="1"/>
  <c r="CY30" i="15"/>
  <c r="U30" i="15" s="1"/>
  <c r="CY43" i="15"/>
  <c r="U43" i="15" s="1"/>
  <c r="CM54" i="15"/>
  <c r="CR54" i="15"/>
  <c r="F64" i="17" s="1"/>
  <c r="AS9" i="15" l="1"/>
  <c r="AO9" i="15"/>
  <c r="AQ9" i="15"/>
  <c r="AN9" i="15"/>
  <c r="R9" i="15" s="1" a="1"/>
  <c r="R9" i="15" s="1"/>
  <c r="AP9" i="15"/>
  <c r="AZ9" i="15"/>
  <c r="W9" i="15" l="1" a="1"/>
  <c r="W9" i="15" s="1"/>
  <c r="V9" i="15" a="1"/>
  <c r="V9" i="15" s="1"/>
  <c r="AT9" i="15"/>
  <c r="T9" i="15" s="1" a="1"/>
  <c r="T9" i="15" s="1"/>
  <c r="AR9" i="15"/>
  <c r="S9" i="15" s="1" a="1"/>
  <c r="S9" i="15" s="1"/>
  <c r="Z9" i="15" l="1" a="1"/>
  <c r="Z9" i="15" s="1"/>
  <c r="V54" i="15"/>
  <c r="R57" i="15" s="1"/>
  <c r="X9" i="15" a="1"/>
  <c r="X9" i="15" s="1"/>
  <c r="Y9" i="15" a="1"/>
  <c r="Y9" i="15" s="1"/>
  <c r="CB9" i="15"/>
  <c r="CB54" i="15" s="1"/>
  <c r="F61" i="17" s="1"/>
  <c r="BS9" i="15"/>
  <c r="BS54" i="15" s="1"/>
  <c r="D63" i="17" s="1"/>
  <c r="BR9" i="15"/>
  <c r="BR54" i="15" s="1"/>
  <c r="D61" i="17" s="1"/>
  <c r="BW9" i="15"/>
  <c r="BW54" i="15" s="1"/>
  <c r="E61" i="17" s="1"/>
  <c r="CS9" i="15"/>
  <c r="CS54" i="15" s="1"/>
  <c r="G55" i="17" s="1"/>
  <c r="CW9" i="15"/>
  <c r="CW54" i="15" s="1"/>
  <c r="G63" i="17" s="1"/>
  <c r="BO9" i="15"/>
  <c r="BO54" i="15" s="1"/>
  <c r="D55" i="17" s="1"/>
  <c r="BB9" i="15"/>
  <c r="BB54" i="15" s="1"/>
  <c r="D27" i="17" s="1"/>
  <c r="CQ9" i="15"/>
  <c r="CQ54" i="15" s="1"/>
  <c r="F62" i="17" s="1"/>
  <c r="CG9" i="15"/>
  <c r="CG54" i="15" s="1"/>
  <c r="D62" i="17" s="1"/>
  <c r="CD9" i="15"/>
  <c r="CD54" i="15" s="1"/>
  <c r="D56" i="17" s="1"/>
  <c r="CL9" i="15"/>
  <c r="CL54" i="15" s="1"/>
  <c r="E62" i="17" s="1"/>
  <c r="BN9" i="15"/>
  <c r="BN54" i="15" s="1"/>
  <c r="F27" i="17" s="1"/>
  <c r="CV9" i="15"/>
  <c r="CV54" i="15" s="1"/>
  <c r="G61" i="17" s="1"/>
  <c r="BH9" i="15"/>
  <c r="BH54" i="15" s="1"/>
  <c r="E27" i="17" s="1"/>
  <c r="CE9" i="15"/>
  <c r="CE54" i="15" s="1"/>
  <c r="D58" i="17" s="1"/>
  <c r="CJ9" i="15"/>
  <c r="CJ54" i="15" s="1"/>
  <c r="E58" i="17" s="1"/>
  <c r="CO9" i="15"/>
  <c r="CO54" i="15" s="1"/>
  <c r="F58" i="17" s="1"/>
  <c r="CK9" i="15"/>
  <c r="CK54" i="15" s="1"/>
  <c r="E60" i="17" s="1"/>
  <c r="BI9" i="15"/>
  <c r="BI54" i="15" s="1"/>
  <c r="E25" i="17" s="1"/>
  <c r="BQ9" i="15"/>
  <c r="BQ54" i="15" s="1"/>
  <c r="D59" i="17" s="1"/>
  <c r="CF9" i="15"/>
  <c r="CF54" i="15" s="1"/>
  <c r="D60" i="17" s="1"/>
  <c r="BG9" i="15"/>
  <c r="BG54" i="15" s="1"/>
  <c r="E24" i="17" s="1"/>
  <c r="CP9" i="15"/>
  <c r="CP54" i="15" s="1"/>
  <c r="F60" i="17" s="1"/>
  <c r="BK9" i="15"/>
  <c r="BK54" i="15" s="1"/>
  <c r="E26" i="17" s="1"/>
  <c r="CT9" i="15"/>
  <c r="CT54" i="15" s="1"/>
  <c r="G57" i="17" s="1"/>
  <c r="CU9" i="15"/>
  <c r="CU54" i="15" s="1"/>
  <c r="G59" i="17" s="1"/>
  <c r="BM9" i="15"/>
  <c r="BM54" i="15" s="1"/>
  <c r="F24" i="17" s="1"/>
  <c r="BA9" i="15"/>
  <c r="BA54" i="15" s="1"/>
  <c r="D24" i="17" s="1"/>
  <c r="BP9" i="15"/>
  <c r="BP54" i="15" s="1"/>
  <c r="D57" i="17" s="1"/>
  <c r="D65" i="17" l="1"/>
  <c r="G65" i="17"/>
  <c r="BY9" i="15"/>
  <c r="BY54" i="15" s="1"/>
  <c r="F55" i="17" s="1"/>
  <c r="BV9" i="15"/>
  <c r="BV54" i="15" s="1"/>
  <c r="E59" i="17" s="1"/>
  <c r="CA9" i="15"/>
  <c r="CA54" i="15" s="1"/>
  <c r="F59" i="17" s="1"/>
  <c r="BJ9" i="15"/>
  <c r="BJ54" i="15" s="1"/>
  <c r="E28" i="17" s="1"/>
  <c r="CI9" i="15"/>
  <c r="CI54" i="15" s="1"/>
  <c r="E56" i="17" s="1"/>
  <c r="CN9" i="15"/>
  <c r="CN54" i="15" s="1"/>
  <c r="F56" i="17" s="1"/>
  <c r="BL9" i="15"/>
  <c r="BL54" i="15" s="1"/>
  <c r="E29" i="17" s="1"/>
  <c r="BX9" i="15"/>
  <c r="BX54" i="15" s="1"/>
  <c r="CC9" i="15"/>
  <c r="CC54" i="15" s="1"/>
  <c r="F63" i="17" s="1"/>
  <c r="L58" i="17" s="1"/>
  <c r="BC9" i="15"/>
  <c r="BC54" i="15" s="1"/>
  <c r="D25" i="17" s="1"/>
  <c r="BE9" i="15"/>
  <c r="BE54" i="15" s="1"/>
  <c r="D26" i="17" s="1"/>
  <c r="BZ9" i="15"/>
  <c r="BZ54" i="15" s="1"/>
  <c r="F57" i="17" s="1"/>
  <c r="BU9" i="15"/>
  <c r="BU54" i="15" s="1"/>
  <c r="E57" i="17" s="1"/>
  <c r="BF9" i="15"/>
  <c r="BF54" i="15" s="1"/>
  <c r="D29" i="17" s="1"/>
  <c r="BT9" i="15"/>
  <c r="BT54" i="15" s="1"/>
  <c r="E55" i="17" s="1"/>
  <c r="BD9" i="15"/>
  <c r="BD54" i="15" s="1"/>
  <c r="D28" i="17" s="1"/>
  <c r="CY9" i="15"/>
  <c r="U9" i="15" s="1"/>
  <c r="K58" i="17"/>
  <c r="F30" i="17"/>
  <c r="J24" i="17" s="1"/>
  <c r="E65" i="17" l="1"/>
  <c r="U54" i="15"/>
  <c r="R55" i="15" s="1"/>
  <c r="F65" i="17"/>
  <c r="J58" i="17"/>
  <c r="E30" i="17"/>
  <c r="I24" i="17" s="1"/>
  <c r="I58" i="17"/>
  <c r="D30" i="17"/>
  <c r="H24" i="17" s="1"/>
  <c r="H58" i="17"/>
  <c r="D66" i="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A1" authorId="0" shapeId="0" xr:uid="{00000000-0006-0000-0600-000001000000}">
      <text>
        <r>
          <rPr>
            <b/>
            <sz val="8"/>
            <color indexed="81"/>
            <rFont val="Tahoma"/>
            <family val="2"/>
          </rPr>
          <t>Specify unit conversion factor only for those units of similar type, e.g. weight</t>
        </r>
      </text>
    </comment>
    <comment ref="A34" authorId="0" shapeId="0" xr:uid="{00000000-0006-0000-0600-000002000000}">
      <text>
        <r>
          <rPr>
            <b/>
            <sz val="8"/>
            <color indexed="81"/>
            <rFont val="Tahoma"/>
            <family val="2"/>
          </rPr>
          <t>Drop down list for Region</t>
        </r>
      </text>
    </comment>
    <comment ref="A41" authorId="0" shapeId="0" xr:uid="{00000000-0006-0000-0600-000003000000}">
      <text>
        <r>
          <rPr>
            <b/>
            <sz val="8"/>
            <color indexed="81"/>
            <rFont val="Tahoma"/>
            <family val="2"/>
          </rPr>
          <t>Drop down list for Mode of Transport</t>
        </r>
      </text>
    </comment>
    <comment ref="A50" authorId="0" shapeId="0" xr:uid="{00000000-0006-0000-0600-000004000000}">
      <text>
        <r>
          <rPr>
            <b/>
            <sz val="8"/>
            <color indexed="81"/>
            <rFont val="Tahoma"/>
            <family val="2"/>
          </rPr>
          <t>Drop down list for Type of Activity Data</t>
        </r>
      </text>
    </comment>
    <comment ref="A61" authorId="0" shapeId="0" xr:uid="{EA85942C-86EA-4E37-A166-210AE150FFCD}">
      <text>
        <r>
          <rPr>
            <b/>
            <sz val="8"/>
            <color indexed="81"/>
            <rFont val="Tahoma"/>
            <family val="2"/>
          </rPr>
          <t>Drop down list for Type of Activity Data</t>
        </r>
      </text>
    </comment>
    <comment ref="A73" authorId="0" shapeId="0" xr:uid="{00000000-0006-0000-0600-000005000000}">
      <text>
        <r>
          <rPr>
            <b/>
            <sz val="8"/>
            <color indexed="81"/>
            <rFont val="Tahoma"/>
            <family val="2"/>
          </rPr>
          <t>Drop down list for Scope</t>
        </r>
      </text>
    </comment>
    <comment ref="A80" authorId="0" shapeId="0" xr:uid="{00000000-0006-0000-0600-000006000000}">
      <text>
        <r>
          <rPr>
            <b/>
            <sz val="8"/>
            <color indexed="81"/>
            <rFont val="Tahoma"/>
            <family val="2"/>
          </rPr>
          <t>For showing a blank drop down list</t>
        </r>
      </text>
    </comment>
    <comment ref="A83" authorId="0" shapeId="0" xr:uid="{00000000-0006-0000-0600-000007000000}">
      <text>
        <r>
          <rPr>
            <b/>
            <sz val="8"/>
            <color indexed="81"/>
            <rFont val="Tahoma"/>
            <family val="2"/>
          </rPr>
          <t>Drop down list for Custom Vehicle's denominator unit</t>
        </r>
      </text>
    </comment>
    <comment ref="A95" authorId="0" shapeId="0" xr:uid="{00000000-0006-0000-0600-000008000000}">
      <text>
        <r>
          <rPr>
            <b/>
            <sz val="8"/>
            <color indexed="81"/>
            <rFont val="Tahoma"/>
            <family val="2"/>
          </rPr>
          <t>Drop down list for selecting GWP version</t>
        </r>
      </text>
    </comment>
    <comment ref="A102" authorId="0" shapeId="0" xr:uid="{00000000-0006-0000-0600-000009000000}">
      <text>
        <r>
          <rPr>
            <b/>
            <sz val="8"/>
            <color indexed="81"/>
            <rFont val="Tahoma"/>
            <family val="2"/>
          </rPr>
          <t>GWP values for each GWP version based on IPCC</t>
        </r>
      </text>
    </comment>
    <comment ref="A119" authorId="0" shapeId="0" xr:uid="{EC238F50-E8DB-45B7-BE91-E90540E493C5}">
      <text>
        <r>
          <rPr>
            <b/>
            <sz val="8"/>
            <color indexed="81"/>
            <rFont val="Tahoma"/>
            <family val="2"/>
          </rPr>
          <t>Drop down list for Mode of Transport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<sst xmlns="http://schemas.openxmlformats.org/spreadsheetml/2006/main" count="5126" uniqueCount="737">
  <si>
    <t>Fuel</t>
  </si>
  <si>
    <t>CO2</t>
  </si>
  <si>
    <t>CH4</t>
  </si>
  <si>
    <t>N2O</t>
  </si>
  <si>
    <t>Fuel Use and Vehicle Distance</t>
  </si>
  <si>
    <t>Rail</t>
  </si>
  <si>
    <t>Aircraft</t>
  </si>
  <si>
    <t>Region</t>
  </si>
  <si>
    <t>CO2 - Biomass Fuel</t>
  </si>
  <si>
    <t>CO2 Unit - Numerator</t>
  </si>
  <si>
    <t>CO2 Unit - Denominator</t>
  </si>
  <si>
    <t>Default Scope</t>
  </si>
  <si>
    <t>Unit Type</t>
  </si>
  <si>
    <t>Mode of Transport</t>
  </si>
  <si>
    <t>US</t>
  </si>
  <si>
    <t>Kilogram</t>
  </si>
  <si>
    <t>Volume</t>
  </si>
  <si>
    <t>On-Road Diesel Fuel</t>
  </si>
  <si>
    <t>Standard Cubic Foot</t>
  </si>
  <si>
    <t>Aviation Gasoline</t>
  </si>
  <si>
    <t>UK</t>
  </si>
  <si>
    <t>CH4 and N2O Emission Factors by Fuel</t>
  </si>
  <si>
    <t>Transport and Fuel</t>
  </si>
  <si>
    <t>CH4 Unit - Numerator</t>
  </si>
  <si>
    <t>CH4 Unit - Denominator</t>
  </si>
  <si>
    <t>N2O Unit - Numerator</t>
  </si>
  <si>
    <t>N2O Unit - Denominator</t>
  </si>
  <si>
    <t>Ship and Boat - Residual Fuel Oil</t>
  </si>
  <si>
    <t>Gram</t>
  </si>
  <si>
    <t>Ship and Boat - Diesel Fuel</t>
  </si>
  <si>
    <t>Agricultural Equipment - Diesel Fuel</t>
  </si>
  <si>
    <t>Construction Equipment - Diesel Fuel</t>
  </si>
  <si>
    <t>Bus - CNG</t>
  </si>
  <si>
    <t>Bus - Ethanol</t>
  </si>
  <si>
    <t>Vehicle and Fuel and Vehicle Year</t>
  </si>
  <si>
    <t>Fuel Efficiency</t>
  </si>
  <si>
    <t>Fuel Efficiency Unit - Numerator</t>
  </si>
  <si>
    <t>Fuel Efficiency Unit - Denominator</t>
  </si>
  <si>
    <t>Mile</t>
  </si>
  <si>
    <t>Vehicle and Fuel and Engine Size</t>
  </si>
  <si>
    <t>Kilometer</t>
  </si>
  <si>
    <t>CO2 Emission Factors by Weight Distance (i.e. Freight Transport)</t>
  </si>
  <si>
    <t>Vehicle and Size</t>
  </si>
  <si>
    <t>Vehicle Type</t>
  </si>
  <si>
    <t>Tonne Mile</t>
  </si>
  <si>
    <t>Tonne Kilometer</t>
  </si>
  <si>
    <t>Waterborne Craft</t>
  </si>
  <si>
    <t>CH4 and N2O Emission Factors by Weight Distance (i.e. Freight Transport)</t>
  </si>
  <si>
    <t>CO2, CH4 and N2O Emission Factors by Passenger Distance (i.e. Public Transport)</t>
  </si>
  <si>
    <t>Vehicle and Type</t>
  </si>
  <si>
    <t>Taxi</t>
  </si>
  <si>
    <t>Passenger Mile</t>
  </si>
  <si>
    <t>Scope 3</t>
  </si>
  <si>
    <t>Bus - Local Bus</t>
  </si>
  <si>
    <t>Bus - Coach</t>
  </si>
  <si>
    <t>Passenger Kilometer</t>
  </si>
  <si>
    <t>To Unit</t>
  </si>
  <si>
    <t>From Unit</t>
  </si>
  <si>
    <t>US Gallon</t>
  </si>
  <si>
    <t>UK Gallon</t>
  </si>
  <si>
    <t>Litre</t>
  </si>
  <si>
    <t>Barrel</t>
  </si>
  <si>
    <t>Cubic Foot</t>
  </si>
  <si>
    <t>Cubic Meter</t>
  </si>
  <si>
    <t>Metric Ton</t>
  </si>
  <si>
    <t>Pound</t>
  </si>
  <si>
    <t>Short Ton</t>
  </si>
  <si>
    <t>Long Ton</t>
  </si>
  <si>
    <t>1 016.04691</t>
  </si>
  <si>
    <t>Kilowatt Hour</t>
  </si>
  <si>
    <t>Therm</t>
  </si>
  <si>
    <t>BTU</t>
  </si>
  <si>
    <t>MMBTU</t>
  </si>
  <si>
    <t>Megajoule</t>
  </si>
  <si>
    <t>Gigajoule</t>
  </si>
  <si>
    <t>Lookups for Regions</t>
  </si>
  <si>
    <t>Lookups for Mode of Transport</t>
  </si>
  <si>
    <t>Road</t>
  </si>
  <si>
    <t>Water</t>
  </si>
  <si>
    <t>Type of Activity Data</t>
  </si>
  <si>
    <t>Fuel Use</t>
  </si>
  <si>
    <t>Vehicle Distance (e.g. Road Transport)</t>
  </si>
  <si>
    <t>Weight Distance (e.g. Freight Transport)</t>
  </si>
  <si>
    <t>Passenger Distance (e.g. Public Transport)</t>
  </si>
  <si>
    <t>Lookups for Scope</t>
  </si>
  <si>
    <t>Scope</t>
  </si>
  <si>
    <t>Scope 1</t>
  </si>
  <si>
    <t>Notes</t>
  </si>
  <si>
    <t>Vehicle</t>
  </si>
  <si>
    <t>Distance</t>
  </si>
  <si>
    <t>Revision History</t>
  </si>
  <si>
    <t>Short Ton Mile</t>
  </si>
  <si>
    <t>Short Ton Kilometer</t>
  </si>
  <si>
    <t>Fuel Amount</t>
  </si>
  <si>
    <t>Summary: Emissions by Scope</t>
  </si>
  <si>
    <t>Summary: Emissions by Mode of Transport</t>
  </si>
  <si>
    <t>Fossil Fuel Emissions</t>
  </si>
  <si>
    <t>Version</t>
  </si>
  <si>
    <t>Revision Date</t>
  </si>
  <si>
    <t>Updated By</t>
  </si>
  <si>
    <t>Description</t>
  </si>
  <si>
    <t>Distance Travelled</t>
  </si>
  <si>
    <t>Unit of Fuel Amount</t>
  </si>
  <si>
    <t>Fuel Used</t>
  </si>
  <si>
    <t>GHG Emissions</t>
  </si>
  <si>
    <t>Air</t>
  </si>
  <si>
    <t>Emission Factors</t>
  </si>
  <si>
    <t>Unit of Emission Factors</t>
  </si>
  <si>
    <t>Biofuel CO2</t>
  </si>
  <si>
    <t xml:space="preserve">Units </t>
  </si>
  <si>
    <t>Blank list</t>
  </si>
  <si>
    <t>Denominator lookup list</t>
  </si>
  <si>
    <t>IPCC GWP</t>
  </si>
  <si>
    <t>2007 IPCC Fourth Assessment Report</t>
  </si>
  <si>
    <t>IPCC GWP Version</t>
  </si>
  <si>
    <t>IPCC GWP Values</t>
  </si>
  <si>
    <t>Waste</t>
  </si>
  <si>
    <t>GWP Value</t>
  </si>
  <si>
    <t>Source Description</t>
  </si>
  <si>
    <t>Master Conversion Table</t>
  </si>
  <si>
    <t>CO2 IPCC GWP Values</t>
  </si>
  <si>
    <t>Other</t>
  </si>
  <si>
    <t>Custom Fuel</t>
  </si>
  <si>
    <t>Custom Vehicle</t>
  </si>
  <si>
    <t>Calculation Method</t>
  </si>
  <si>
    <t>All Scope</t>
  </si>
  <si>
    <t>CH4 IPCC GWP Values</t>
  </si>
  <si>
    <t>N2O IPCC GWP Values</t>
  </si>
  <si>
    <t>Biofuel CO2 IPCC GWP Values</t>
  </si>
  <si>
    <t>Table for Chart</t>
  </si>
  <si>
    <t>2.0</t>
  </si>
  <si>
    <t>Richard Mak</t>
  </si>
  <si>
    <t>Initial 2.0 release</t>
  </si>
  <si>
    <t>2.1</t>
  </si>
  <si>
    <t xml:space="preserve">Revised the emission factors for UK sources to be consistent with most recent guidance from UK DEFRA (dated October 2010; see http://www.defra.gov.uk/environment/business/reporting/conversion-factors.htm) </t>
  </si>
  <si>
    <t>GHG Protocol</t>
  </si>
  <si>
    <t>Total Weight of Freight</t>
  </si>
  <si>
    <t>2.2</t>
  </si>
  <si>
    <t>Corrected transcription error for US-based air freight transport emission factors</t>
  </si>
  <si>
    <t xml:space="preserve">     Domestic = &lt; 463 km</t>
  </si>
  <si>
    <t xml:space="preserve">     Short-haul = ≥ 463 &lt;1108 km </t>
  </si>
  <si>
    <t xml:space="preserve">     Long haul = ≥ 1108 km</t>
  </si>
  <si>
    <t xml:space="preserve">* Please note the following distance categories when calculating air transport emissions.  </t>
  </si>
  <si>
    <t xml:space="preserve">2.3 </t>
  </si>
  <si>
    <t>2.4</t>
  </si>
  <si>
    <t>Removed error message</t>
  </si>
  <si>
    <t>Francis Gassert</t>
  </si>
  <si>
    <t>Adjusted conversion factors for measurement units to/from standard cubic feet and cubic feet</t>
  </si>
  <si>
    <t>2.5</t>
  </si>
  <si>
    <t>Greenhouse gas</t>
  </si>
  <si>
    <t>2.6</t>
  </si>
  <si>
    <t>Added GWP values from IPCC's Fifth Assessment Report</t>
  </si>
  <si>
    <t>2014 IPCC Fifth Assessment Report</t>
  </si>
  <si>
    <t>Jet Kerosene</t>
  </si>
  <si>
    <t>Motor Gasoline/Petrol</t>
  </si>
  <si>
    <t>Residual Fuel Oil</t>
  </si>
  <si>
    <t>Liquefied Petroleum Gases (LPG)</t>
  </si>
  <si>
    <t>Compressed Natural Gas (CNG)</t>
  </si>
  <si>
    <t>Kerosene - Type Jet Fuel</t>
  </si>
  <si>
    <t>Motor Gasoline</t>
  </si>
  <si>
    <t>Diesel Fuel</t>
  </si>
  <si>
    <t>Liquefied Natural Gas (LNG)</t>
  </si>
  <si>
    <t>Ethanol (100%)</t>
  </si>
  <si>
    <t>Biodiesel (100%)</t>
  </si>
  <si>
    <t>Aviation spirit (Aviation Gasoline)</t>
  </si>
  <si>
    <t>Aviation turbine fuel (Jet Fuel)</t>
  </si>
  <si>
    <t>Diesel (100% mineral diesel)</t>
  </si>
  <si>
    <t>Fuel oil (Residual Fuel Oil)</t>
  </si>
  <si>
    <t>Petrol (100% mineral petrol) (Motor Gasoline)</t>
  </si>
  <si>
    <t>Processed fuel oils - residual oil</t>
  </si>
  <si>
    <t>Natural gas (100% mineral blend)</t>
  </si>
  <si>
    <t>Bioethanol</t>
  </si>
  <si>
    <t>Biodiesel ME</t>
  </si>
  <si>
    <t>Standard Cubit Foot</t>
  </si>
  <si>
    <t>Table 1. CO2 Emission Factors by Fuel</t>
  </si>
  <si>
    <t>Rail - Diesel</t>
  </si>
  <si>
    <t>Agriculture Equipment - Diesel</t>
  </si>
  <si>
    <t>Forestry Equipment - Diesel</t>
  </si>
  <si>
    <t>Industry Equipment - Diesel</t>
  </si>
  <si>
    <t>Household Equipment - Diesel</t>
  </si>
  <si>
    <t>Locomotives - Diesel Fuel</t>
  </si>
  <si>
    <t>Aircraft - Jet Fuel</t>
  </si>
  <si>
    <t>Aircraft - Aviation Gasoline</t>
  </si>
  <si>
    <t>Agricultural Equipment - LPG</t>
  </si>
  <si>
    <t>Construction Equipment - LPG</t>
  </si>
  <si>
    <t>Lawn and Garden Equipment - Diesel Fuel</t>
  </si>
  <si>
    <t>Lawn and Garden Equipment - LPG</t>
  </si>
  <si>
    <t>Airport Equipment - Motor Gasoline</t>
  </si>
  <si>
    <t>Airport Equipment - Diesel</t>
  </si>
  <si>
    <t>Airport Equipment - LPG</t>
  </si>
  <si>
    <t>Industrial/Commercial Equipment - Diesel</t>
  </si>
  <si>
    <t>Industrial/Commercial Equipment - LPG</t>
  </si>
  <si>
    <t>Logging Equipment - Diesel</t>
  </si>
  <si>
    <t>Railroad Equipment - Motor Gasoline</t>
  </si>
  <si>
    <t>Railroad Equipment - Diesel</t>
  </si>
  <si>
    <t>Railroad Equipment - LPG</t>
  </si>
  <si>
    <t>Recreational Equipment - Diesel</t>
  </si>
  <si>
    <t>Recreational Equipment - LPG</t>
  </si>
  <si>
    <t>Agriculture Equipment - 4 stroke - Motor Gasoline</t>
  </si>
  <si>
    <t>Industry Equipment - 4 stroke - Motor Gasoline</t>
  </si>
  <si>
    <t>Household Equipment - 4 stroke - Motor Gasoline</t>
  </si>
  <si>
    <t>Agriculture Equipment - 2 stroke - Motor Gasoline</t>
  </si>
  <si>
    <t>Forestry Equipment - 2 stroke - Motor Gasoline</t>
  </si>
  <si>
    <t>Industry Equipment - 2 stroke - Motor Gasoline</t>
  </si>
  <si>
    <t>Household Equipment - 2 stroke - Motor Gasoline</t>
  </si>
  <si>
    <t>Ship and Boat - 2 stroke - Motor Gasoline</t>
  </si>
  <si>
    <t>Ship and Boat - 4 stroke - Motor Gasoline</t>
  </si>
  <si>
    <t>Agricultural Equipment - 2 stroke - Motor Gasoline</t>
  </si>
  <si>
    <t>Agricultural Equipment - 4 stroke - Motor Gasoline</t>
  </si>
  <si>
    <t>Agricultural Equipment - Off-Road Trucks - Motor Gasoline</t>
  </si>
  <si>
    <t>Agricultural Equipment - Off-Road Trucks - Diesel Fuel</t>
  </si>
  <si>
    <t>Construction Equipment - 2 stroke - Motor Gasoline</t>
  </si>
  <si>
    <t>Construction Equipment - 4 stroke - Motor Gasoline</t>
  </si>
  <si>
    <t>Construction Equipment - Off-Road Trucks - Motor Gasoline</t>
  </si>
  <si>
    <t>Construction Equipment - Off-Road Trucks - Diesel Fuel</t>
  </si>
  <si>
    <t>Lawn and Garden Equipment - 2 stroke - Motor Gasoline</t>
  </si>
  <si>
    <t>Lawn and Garden Equipment - 4 stroke - Motor Gasoline</t>
  </si>
  <si>
    <t>Industrial/Commercial Equipment - 2 stroke - Motor Gasoline</t>
  </si>
  <si>
    <t>Industrial/Commercial Equipment - 4 stroke - Motor Gasoline</t>
  </si>
  <si>
    <t>Logging Equipment - 2 stroke - Motor Gasoline</t>
  </si>
  <si>
    <t>Logging Equipment - 4 stroke - Motor Gasoline</t>
  </si>
  <si>
    <t>Recreational Equipment - 2 stroke - Motor Gasoline</t>
  </si>
  <si>
    <t>Recreational Equipment - 4 stroke - Motor Gasoline</t>
  </si>
  <si>
    <t>TJ</t>
  </si>
  <si>
    <t>Bus</t>
  </si>
  <si>
    <t>Passenger Car</t>
  </si>
  <si>
    <t>Bus - Methanol</t>
  </si>
  <si>
    <t>Heavy Duty Vehicles - CNG</t>
  </si>
  <si>
    <t>Heavy Duty Vehicles - LNG</t>
  </si>
  <si>
    <t>Heavy Duty Vehicles - LPG</t>
  </si>
  <si>
    <t>Heavy Duty Vehicles - Ethanol</t>
  </si>
  <si>
    <t>Passenger Car - 1975 - Gasoline</t>
  </si>
  <si>
    <t>Passenger Car - 1980 - Gasoline</t>
  </si>
  <si>
    <t>Passenger Car - 1981 - Gasoline</t>
  </si>
  <si>
    <t>Passenger Car - 1982 - Gasoline</t>
  </si>
  <si>
    <t>Passenger Car - 1983 - Gasoline</t>
  </si>
  <si>
    <t>Passenger Car - 1984-1993 - Gasoline</t>
  </si>
  <si>
    <t>Passenger Car - 1994 - Gasoline</t>
  </si>
  <si>
    <t>Passenger Car - 1995 - Gasoline</t>
  </si>
  <si>
    <t>Passenger Car - 1996 - Gasoline</t>
  </si>
  <si>
    <t>Passenger Car - 1997 - Gasoline</t>
  </si>
  <si>
    <t>Passenger Car - 1998 - Gasoline</t>
  </si>
  <si>
    <t>Passenger Car - 1999 - Gasoline</t>
  </si>
  <si>
    <t>Passenger Car - 2000 - Gasoline</t>
  </si>
  <si>
    <t>Passenger Car - 2001 - Gasoline</t>
  </si>
  <si>
    <t>Passenger Car - 2002 - Gasoline</t>
  </si>
  <si>
    <t>Passenger Car - 2003 - Gasoline</t>
  </si>
  <si>
    <t>Passenger Car - 2004 - Gasoline</t>
  </si>
  <si>
    <t>Passenger Car - 2005 - Gasoline</t>
  </si>
  <si>
    <t>Passenger Car - 2006 - Gasoline</t>
  </si>
  <si>
    <t>Passenger Car - 2007 - Gasoline</t>
  </si>
  <si>
    <t>Passenger Car - 2008 - Gasoline</t>
  </si>
  <si>
    <t>Passenger Car - 2009 - Gasoline</t>
  </si>
  <si>
    <t>Passenger Car - 2010 - Gasoline</t>
  </si>
  <si>
    <t>Passenger Car - 2011 - Gasoline</t>
  </si>
  <si>
    <t>Passenger Car - 2012 - Gasoline</t>
  </si>
  <si>
    <t>Passenger Car - 2013 - Gasoline</t>
  </si>
  <si>
    <t>Passenger Car - 2014 - Gasoline</t>
  </si>
  <si>
    <t>Passenger Car - 2015 - Gasoline</t>
  </si>
  <si>
    <t>Passenger Car - 2016 - Gasoline</t>
  </si>
  <si>
    <t>Passenger Car - 2017 - Gasoline</t>
  </si>
  <si>
    <t>Passenger Car - 2018 - Gasoline</t>
  </si>
  <si>
    <t>Passenger Car - 2019 - Gasoline</t>
  </si>
  <si>
    <t>Passenger Car - 2020 - Gasoline</t>
  </si>
  <si>
    <t>Passenger Car - 2021 - Gasoline</t>
  </si>
  <si>
    <t>Passenger Car - 1960-1982 - Diesel</t>
  </si>
  <si>
    <t>Passenger Car - 1983-2006 - Diesel</t>
  </si>
  <si>
    <t>Passenger Car - 2007-2020 - Diesel</t>
  </si>
  <si>
    <t>Light-Duty Cars - Ethanol</t>
  </si>
  <si>
    <t>Light-Duty Cars - CNG</t>
  </si>
  <si>
    <t>Light-Duty Cars - LPG</t>
  </si>
  <si>
    <t>Light-Duty Cars - Biodiesel</t>
  </si>
  <si>
    <t>Light-Duty Trucks - 1973-1974 - Gasoline</t>
  </si>
  <si>
    <t>Light-Duty Trucks - 1975 - Gasoline</t>
  </si>
  <si>
    <t>Light-Duty Trucks - 1976 - Gasoline</t>
  </si>
  <si>
    <t>Light-Duty Trucks - 1977-1978 - Gasoline</t>
  </si>
  <si>
    <t>Light-Duty Trucks - 1979-1980 - Gasoline</t>
  </si>
  <si>
    <t>Light-Duty Trucks - 1981 - Gasoline</t>
  </si>
  <si>
    <t>Light-Duty Trucks - 1982 - Gasoline</t>
  </si>
  <si>
    <t>Light-Duty Trucks - 1983 - Gasoline</t>
  </si>
  <si>
    <t>Light-Duty Trucks - 1984 - Gasoline</t>
  </si>
  <si>
    <t>Light-Duty Trucks - 1985 - Gasoline</t>
  </si>
  <si>
    <t>Light-Duty Trucks - 1986 - Gasoline</t>
  </si>
  <si>
    <t>Light-Duty Trucks - 1987-1993 - Gasoline</t>
  </si>
  <si>
    <t>Light-Duty Trucks - 1994 - Gasoline</t>
  </si>
  <si>
    <t>Light-Duty Trucks - 1995 - Gasoline</t>
  </si>
  <si>
    <t>Light-Duty Trucks - 1996 - Gasoline</t>
  </si>
  <si>
    <t>Light-Duty Trucks - 1997 - Gasoline</t>
  </si>
  <si>
    <t>Light-Duty Trucks - 1998 - Gasoline</t>
  </si>
  <si>
    <t>Light-Duty Trucks - 1999 - Gasoline</t>
  </si>
  <si>
    <t>Light-Duty Trucks - 2000 - Gasoline</t>
  </si>
  <si>
    <t>Light-Duty Trucks - 2001 - Gasoline</t>
  </si>
  <si>
    <t>Light-Duty Trucks - 2002 - Gasoline</t>
  </si>
  <si>
    <t>Light-Duty Trucks - 2003 - Gasoline</t>
  </si>
  <si>
    <t>Light-Duty Trucks - 2004 - Gasoline</t>
  </si>
  <si>
    <t>Light-Duty Trucks - 2005 - Gasoline</t>
  </si>
  <si>
    <t>Light-Duty Trucks - 2006 - Gasoline</t>
  </si>
  <si>
    <t>Light-Duty Trucks - 2007 - Gasoline</t>
  </si>
  <si>
    <t>Light-Duty Trucks - 2008 - Gasoline</t>
  </si>
  <si>
    <t>Light-Duty Trucks - 2009 - Gasoline</t>
  </si>
  <si>
    <t>Light-Duty Trucks - 2010 - Gasoline</t>
  </si>
  <si>
    <t>Light-Duty Trucks - 2011 - Gasoline</t>
  </si>
  <si>
    <t>Light-Duty Trucks - 2012 - Gasoline</t>
  </si>
  <si>
    <t>Light-Duty Trucks - 2013 - Gasoline</t>
  </si>
  <si>
    <t>Light-Duty Trucks - 2014 - Gasoline</t>
  </si>
  <si>
    <t>Light-Duty Trucks - 2015 - Gasoline</t>
  </si>
  <si>
    <t>Light-Duty Trucks - 2016 - Gasoline</t>
  </si>
  <si>
    <t>Light-Duty Trucks - 2017 - Gasoline</t>
  </si>
  <si>
    <t>Light-Duty Trucks - 2018 - Gasoline</t>
  </si>
  <si>
    <t>Light-Duty Trucks - 2019 - Gasoline</t>
  </si>
  <si>
    <t>Light-Duty Trucks - 2020 - Gasoline</t>
  </si>
  <si>
    <t>Light-Duty Trucks - 2021 - Gasoline</t>
  </si>
  <si>
    <t>Light-Duty Trucks - 1960-1982 - Diesel</t>
  </si>
  <si>
    <t>Light-Duty Trucks - 1983-2006 - Diesel</t>
  </si>
  <si>
    <t>Light-Duty Trucks - 2007-2020 - Diesel</t>
  </si>
  <si>
    <t>Light-Duty Trucks - Ethanol</t>
  </si>
  <si>
    <t>Light-Duty Trucks - CNG</t>
  </si>
  <si>
    <t>Light-Duty Trucks - LPG</t>
  </si>
  <si>
    <t>Light-Duty Trucks - LNG</t>
  </si>
  <si>
    <t>Light-Duty Trucks - Biodiesel</t>
  </si>
  <si>
    <t>Medium-Duty Trucks - CNG</t>
  </si>
  <si>
    <t>Medium-Duty Trucks - LPG</t>
  </si>
  <si>
    <t>Medium-Duty Trucks - LNG</t>
  </si>
  <si>
    <t>Medium-Duty Trucks - Biodiesel</t>
  </si>
  <si>
    <t>Medium-Duty Vehicles - 1960-2006 - Diesel</t>
  </si>
  <si>
    <t>Medium-Duty Vehicles - 2007-2020 - Diesel</t>
  </si>
  <si>
    <t>Heavy Duty Vehicles -  ≤1980 - Gasoline</t>
  </si>
  <si>
    <t>Heavy Duty Vehicles - 1981-1984 - Gasoline</t>
  </si>
  <si>
    <t>Heavy Duty Vehicles - 1985-1986 - Gasoline</t>
  </si>
  <si>
    <t>Heavy Duty Vehicles - 1987 - Gasoline</t>
  </si>
  <si>
    <t>Heavy Duty Vehicles - 1988-1989 - Gasoline</t>
  </si>
  <si>
    <t>Heavy Duty Vehicles - 1990-1995 - Gasoline</t>
  </si>
  <si>
    <t>Heavy Duty Vehicles - 1996 - Gasoline</t>
  </si>
  <si>
    <t>Heavy Duty Vehicles - 1997 - Gasoline</t>
  </si>
  <si>
    <t>Heavy Duty Vehicles - 1998 - Gasoline</t>
  </si>
  <si>
    <t>Heavy Duty Vehicles - 1999 - Gasoline</t>
  </si>
  <si>
    <t>Heavy Duty Vehicles - 2000 - Gasoline</t>
  </si>
  <si>
    <t>Heavy Duty Vehicles - 2001 - Gasoline</t>
  </si>
  <si>
    <t>Heavy Duty Vehicles - 2002 - Gasoline</t>
  </si>
  <si>
    <t>Heavy Duty Vehicles - 2003 - Gasoline</t>
  </si>
  <si>
    <t>Heavy Duty Vehicles - 2004 - Gasoline</t>
  </si>
  <si>
    <t>Heavy Duty Vehicles - 2005 - Gasoline</t>
  </si>
  <si>
    <t>Heavy Duty Vehicles - 2006 - Gasoline</t>
  </si>
  <si>
    <t>Heavy Duty Vehicles - 2007 - Gasoline</t>
  </si>
  <si>
    <t>Heavy Duty Vehicles - 2008 - Gasoline</t>
  </si>
  <si>
    <t>Heavy Duty Vehicles - 2009 - Gasoline</t>
  </si>
  <si>
    <t>Heavy Duty Vehicles - 2010 - Gasoline</t>
  </si>
  <si>
    <t>Heavy Duty Vehicles - 2011 - Gasoline</t>
  </si>
  <si>
    <t>Heavy Duty Vehicles - 2012 - Gasoline</t>
  </si>
  <si>
    <t>Heavy Duty Vehicles - 2013 - Gasoline</t>
  </si>
  <si>
    <t>Heavy Duty Vehicles - 2014 - Gasoline</t>
  </si>
  <si>
    <t>Heavy Duty Vehicles - 2015 - Gasoline</t>
  </si>
  <si>
    <t>Heavy Duty Vehicles - 2016 - Gasoline</t>
  </si>
  <si>
    <t>Heavy Duty Vehicles - 2017 - Gasoline</t>
  </si>
  <si>
    <t>Heavy Duty Vehicles - 2018 - Gasoline</t>
  </si>
  <si>
    <t>Heavy Duty Vehicles - 2019 - Gasoline</t>
  </si>
  <si>
    <t>Heavy Duty Vehicles - 2020 - Gasoline</t>
  </si>
  <si>
    <t>Heavy Duty Vehicles - 2021 - Gasoline</t>
  </si>
  <si>
    <t>Heavy-Duty Vehicles - 1960-2006 - Diesel</t>
  </si>
  <si>
    <t>Heavy-Duty Vehicles - 2007-2020 - Diesel</t>
  </si>
  <si>
    <t>Heavy-Duty Trucks - Ethanol</t>
  </si>
  <si>
    <t>Heavy-Duty Trucks - CNG</t>
  </si>
  <si>
    <t>Heavy-Duty Trucks - LPG</t>
  </si>
  <si>
    <t>Heavy-Duty Trucks - LNG</t>
  </si>
  <si>
    <t>Heavy-Duty Trucks - Biodiesel</t>
  </si>
  <si>
    <t>Bus - LPG</t>
  </si>
  <si>
    <t>Bus - LNG</t>
  </si>
  <si>
    <t>Bus - Biodiesel</t>
  </si>
  <si>
    <t>Motorcycles - 1960-1995 - Gasoline</t>
  </si>
  <si>
    <t>Motorcycles - 1996-2005 - Gasoline</t>
  </si>
  <si>
    <t>Motorcycles - 2006-2020 - Gasoline</t>
  </si>
  <si>
    <t>Hybrid</t>
  </si>
  <si>
    <t>Passenger Car - Small car, &lt;1.4 litre</t>
  </si>
  <si>
    <t>Passenger Car - Medium car, 1.4 - 2.0 litres</t>
  </si>
  <si>
    <t>Passenger Car - Large car, &gt;2.0 litres</t>
  </si>
  <si>
    <t>Passenger Car - Average car</t>
  </si>
  <si>
    <t>Passenger Car - Small car, &lt;1.7 litre</t>
  </si>
  <si>
    <t>Passenger Car - Medium car, 1.7 - 2.0 litres</t>
  </si>
  <si>
    <t>Vans - Class I, ≤1.305 tonnes</t>
  </si>
  <si>
    <t>Vans - Class II, &gt;1.305 to ≤1.74 tonnes</t>
  </si>
  <si>
    <t>Vans - Class III, &gt;1.74 to ≤3.5 tonnes</t>
  </si>
  <si>
    <t>Vans - Average (up to 3.5 tonnes)</t>
  </si>
  <si>
    <t>Motorbike - Small, ≤125 cc</t>
  </si>
  <si>
    <t>Motorbike - Medium, &gt;125 and ≤500 cc</t>
  </si>
  <si>
    <t>Motorbike - Large, &gt;500 cc</t>
  </si>
  <si>
    <t>Motorbike - Average</t>
  </si>
  <si>
    <t>HGV - Rigid - 3.5 - 7.5 tonnes - 0% Weight Laden</t>
  </si>
  <si>
    <t>HGV - Rigid - 3.5 - 7.5 tonnes - 50% Weight Laden</t>
  </si>
  <si>
    <t>HGV - Rigid - 3.5 - 7.5 tonnes - 100% Weight Laden</t>
  </si>
  <si>
    <t>HGV - Rigid - 3.5 - 7.5 tonnes - Average Laden</t>
  </si>
  <si>
    <t>HGV - Rigid - 7.5 - 17 tonnes - 0% Weight Laden</t>
  </si>
  <si>
    <t>HGV - Rigid - 7.5 - 17 tonnes - 50% Weight Laden</t>
  </si>
  <si>
    <t>HGV - Rigid - 7.5 - 17 tonnes - 100% Weight Laden</t>
  </si>
  <si>
    <t>HGV - Rigid - 7.5 - 17 tonnes - Average Laden</t>
  </si>
  <si>
    <t>HGV - Rigid - &gt;17 tonnes - 0% Weight Laden</t>
  </si>
  <si>
    <t>HGV - Rigid - &gt;17 tonnes - 50% Weight Laden</t>
  </si>
  <si>
    <t>HGV - Rigid - &gt;17 tonnes - 100% Weight Laden</t>
  </si>
  <si>
    <t>HGV - Rigid - &gt;17 tonnes - Average Laden</t>
  </si>
  <si>
    <t>HGV - Rigid - Average - Average Laden</t>
  </si>
  <si>
    <t>HGV - Articulated - 3.5 - 33 tonnes - 0% Weight Laden</t>
  </si>
  <si>
    <t>HGV - Articulated - 3.5 - 33 tonnes - 50% Weight Laden</t>
  </si>
  <si>
    <t>HGV - Articulated - 3.5 - 33 tonnes - 100% Weight Laden</t>
  </si>
  <si>
    <t>HGV - Articulated - 3.5 - 33 tonnes - Average Laden</t>
  </si>
  <si>
    <t>HGV - Articulated -  &gt;33 tonnes - 0% Weight Laden</t>
  </si>
  <si>
    <t>HGV - Articulated -  &gt;33 tonnes - 50% Weight Laden</t>
  </si>
  <si>
    <t>HGV - Articulated - &gt;33 tonnes - 100% Weight Laden</t>
  </si>
  <si>
    <t>HGV - Articulated -  &gt;33 tonnes - Average Laden</t>
  </si>
  <si>
    <t>HGV - Articulated - Average - Average Laden</t>
  </si>
  <si>
    <t>HGV - Type Unknown - Average - Average Laden</t>
  </si>
  <si>
    <t>Heavy-Duty Truck</t>
  </si>
  <si>
    <t>Medium-Duty Truck</t>
  </si>
  <si>
    <t>Light-Duty Truck</t>
  </si>
  <si>
    <t>Freight flights - Domestic, between UK airports</t>
  </si>
  <si>
    <t>Freight flights - Short-haul, up to 3700km distance</t>
  </si>
  <si>
    <t>Freight flights - Long-haul, over 3700km distance</t>
  </si>
  <si>
    <t>Freight flights - International, over 3700km distance</t>
  </si>
  <si>
    <t>Rail - Freight train</t>
  </si>
  <si>
    <t>Vans - Class I, ≤1.305 tonnes - Petrol</t>
  </si>
  <si>
    <t>Vans - Class II, &gt;1.305 to ≤1.74 tonnes - Petrol</t>
  </si>
  <si>
    <t>Vans - Class III, &gt;1.74 to ≤3.5 tonnes - Petrol</t>
  </si>
  <si>
    <t>Vans - Average (up to 3.5 tonnes) - Petrol</t>
  </si>
  <si>
    <t>Vans - Class I, ≤1.305 tonnes - Diesel</t>
  </si>
  <si>
    <t>Vans - Class II, &gt;1.305 to ≤1.74 tonnes - Diesel</t>
  </si>
  <si>
    <t>Vans - Class III, &gt;1.74 to ≤3.5 tonnes - Diesel</t>
  </si>
  <si>
    <t>Vans - Average (up to 3.5 tonnes) - Diesel</t>
  </si>
  <si>
    <t>Vans - Average (up to 3.5 tonnes) - CNG</t>
  </si>
  <si>
    <t>Vans - Average (up to 3.5 tonnes) - LPG</t>
  </si>
  <si>
    <t>Vans - Average (up to 3.5 tonnes) - Unknown</t>
  </si>
  <si>
    <t>HGV - Rigid - 3.5 - 7.5 tonnes - Average Laden - Diesel</t>
  </si>
  <si>
    <t>HGV - Rigid - 7.5 - 17 tonnes - Average Laden - Diesel</t>
  </si>
  <si>
    <t>HGV - Rigid - &gt;17 tonnes - Average Laden - Diesel</t>
  </si>
  <si>
    <t>HGV - Rigid - Average - Average Laden - Diesel</t>
  </si>
  <si>
    <t>HGV - Articulated - 3.5 - 33 tonnes - Average Laden - Diesel</t>
  </si>
  <si>
    <t>HGV - Articulated -  &gt;33 tonnes - Average Laden - Diesel</t>
  </si>
  <si>
    <t>HGV - Articulated - Average - Average Laden - Diesel</t>
  </si>
  <si>
    <t>HGV - Type Unknown - Average - Average Laden - Diesel</t>
  </si>
  <si>
    <t>Sea tanker - Crude tanker - 200,000+ dwt</t>
  </si>
  <si>
    <t>Sea tanker - Crude tanker - 120,000–199,999 dwt</t>
  </si>
  <si>
    <t>Sea tanker - Crude tanker - 80,000–119,999 dwt</t>
  </si>
  <si>
    <t>Sea tanker - Crude tanker - 60,000–79,999 dwt</t>
  </si>
  <si>
    <t>Sea tanker - Crude tanker - 10,000–59,999 dwt</t>
  </si>
  <si>
    <t>Sea tanker - Crude tanker - 0–9999 dwt</t>
  </si>
  <si>
    <t>Sea tanker - Crude tanker - Average</t>
  </si>
  <si>
    <t>Cargo ship - Bulk carrier - 200,000+ dwt</t>
  </si>
  <si>
    <t>Cargo ship - Bulk carrier - 100,000–199,999 dwt</t>
  </si>
  <si>
    <t>Cargo ship - Bulk carrier - 60,000–99,999 dwt</t>
  </si>
  <si>
    <t>Cargo ship - Bulk carrier - 35,000–59,999 dwt</t>
  </si>
  <si>
    <t>Cargo ship - Bulk carrier - 10,000–34,999 dwt</t>
  </si>
  <si>
    <t>Cargo ship - Bulk carrier - 0–9999 dwt</t>
  </si>
  <si>
    <t>Cargo ship - Bulk carrier - Average</t>
  </si>
  <si>
    <t>Cargo ship - Container ship - 8000+ TEU</t>
  </si>
  <si>
    <t>Cargo ship - Container ship - 5000–7999 TEU</t>
  </si>
  <si>
    <t>Cargo ship - Container ship - 3000–4999 TEU</t>
  </si>
  <si>
    <t>Cargo ship - Container ship - 2000–2999 TEU</t>
  </si>
  <si>
    <t>Cargo ship - Container ship - 1000–1999 TEU</t>
  </si>
  <si>
    <t>Cargo ship - Container ship - 0–999 TEU</t>
  </si>
  <si>
    <t>Cargo ship - Container ship - Average</t>
  </si>
  <si>
    <t>Cargo ship - Vehicle transport - 4000+ CEU</t>
  </si>
  <si>
    <t>Cargo ship - Vehicle transport - 0–3999 CEU</t>
  </si>
  <si>
    <t>Cargo ship - Vehicle transport - Average</t>
  </si>
  <si>
    <t>Cargo ship - Large RoPax ferry - Average</t>
  </si>
  <si>
    <t>Vehicle Mile</t>
  </si>
  <si>
    <t>Average Ferry</t>
  </si>
  <si>
    <t>Commuter Rail</t>
  </si>
  <si>
    <t>Motorcycle</t>
  </si>
  <si>
    <t>Air - Domestic - Average Passenger</t>
  </si>
  <si>
    <t>Air - Short Haul, up to 3700km distance - Average Passenger</t>
  </si>
  <si>
    <t>Air - Short Haul, up to 3700km distance - Economy Class</t>
  </si>
  <si>
    <t>Air - Short Haul, up to 3700km distance - Business Class</t>
  </si>
  <si>
    <t>Air - Long Haul, over 3700km distance - Average Passenger</t>
  </si>
  <si>
    <t>Air - Long Haul, over 3700km distance - Economy Class</t>
  </si>
  <si>
    <t>Air - Long Haul, over 3700km distance - Premium Economy Class</t>
  </si>
  <si>
    <t>Air - Long Haul, over 3700km distance - Business Class</t>
  </si>
  <si>
    <t>Air - Long Haul, over 3700km distance - First Class</t>
  </si>
  <si>
    <t>Air - International - Average Passenger</t>
  </si>
  <si>
    <t>Air - International - Economy class</t>
  </si>
  <si>
    <t>Air - International - Premium economy class</t>
  </si>
  <si>
    <t>Air - International - Business class</t>
  </si>
  <si>
    <t>Air - International - First class</t>
  </si>
  <si>
    <t>Rail - Light Rail and Tram</t>
  </si>
  <si>
    <t>Rail - National Rail</t>
  </si>
  <si>
    <t>Bus - Average Local Bus</t>
  </si>
  <si>
    <t>Air Travel - Short Haul -  &lt; 300 miles</t>
  </si>
  <si>
    <t>Air - Medium Haul - &gt;= 300 miles and &lt; 2300 miles</t>
  </si>
  <si>
    <t>Air - Long Haul - &gt;= 2300 miles</t>
  </si>
  <si>
    <t>Intercity Rail - Northeast Corridor</t>
  </si>
  <si>
    <t>Intercity Rail - Other Routes</t>
  </si>
  <si>
    <t>Intercity Rail  - National Average</t>
  </si>
  <si>
    <t>Transit Rail - Subway, Tram</t>
  </si>
  <si>
    <t>Offroad</t>
  </si>
  <si>
    <t>CO2, CH4, N2O Emission Factors for UK by Vehicle Distance</t>
  </si>
  <si>
    <t>CO2, CH4 and N2O Emission Factors for US and Other by Vehicle Distance</t>
  </si>
  <si>
    <t>Light Duty Vehicles - Ethanol</t>
  </si>
  <si>
    <t>Light Duty Vehicles - LPG</t>
  </si>
  <si>
    <t>Light Duty Vehicles - CNG</t>
  </si>
  <si>
    <t>Value</t>
  </si>
  <si>
    <t xml:space="preserve"> Unit</t>
  </si>
  <si>
    <t>Fuel Economy</t>
  </si>
  <si>
    <t>mpg</t>
  </si>
  <si>
    <t>Fuel Consumption</t>
  </si>
  <si>
    <t>km/L</t>
  </si>
  <si>
    <t>Average Fuel Economy</t>
  </si>
  <si>
    <t>Passenger Cars</t>
  </si>
  <si>
    <t>Motorcycles</t>
  </si>
  <si>
    <t>Diesel Buses (Diesel Heavy-Duty Vehicles)</t>
  </si>
  <si>
    <t>Other 2-axle, 4-Tire Vehicles</t>
  </si>
  <si>
    <t>Single unit 2-Axle 6-Tire or More Trucks</t>
  </si>
  <si>
    <t>Combination Trucks</t>
  </si>
  <si>
    <t>2007 IPCC Fourth Assessment Report (AR4)</t>
  </si>
  <si>
    <t>2014 IPCC Fifth Assessment Report (AR5)</t>
  </si>
  <si>
    <t>2021 IPCC Sixth Assessment Report (AR6)</t>
  </si>
  <si>
    <t>2021 IPCC Sixth Assessment Report</t>
  </si>
  <si>
    <t>Reference Table: U.S. Average Fuel Economy per Vehicle Type</t>
  </si>
  <si>
    <t>Reference Table: U.K. Implied Fuel Economy per Vehicle Type</t>
  </si>
  <si>
    <t>Implied Average Fuel Economy</t>
  </si>
  <si>
    <t>Fuel Type</t>
  </si>
  <si>
    <t>Passenger Car - 1978-1979 - Gasoline</t>
  </si>
  <si>
    <t>Passenger Car - 1976-1977 - Gasoline</t>
  </si>
  <si>
    <t>Passenger Car - 1973-1974 - Gasoline</t>
  </si>
  <si>
    <t>Other Mode of Transport</t>
  </si>
  <si>
    <t xml:space="preserve">US Mode of Transport </t>
  </si>
  <si>
    <t xml:space="preserve">UK Mode of Transport </t>
  </si>
  <si>
    <t>E85 Ethanol/Gasoline</t>
  </si>
  <si>
    <t>B20 Biodiesel/Diesel</t>
  </si>
  <si>
    <t>Fuels by region</t>
  </si>
  <si>
    <t>Type of Activity Data_Other</t>
  </si>
  <si>
    <t>Type of Activity Data_US</t>
  </si>
  <si>
    <t>Type of Activity Data_UK</t>
  </si>
  <si>
    <t>Lookups for Type of Activity Data_Scope1</t>
  </si>
  <si>
    <t>Lookups for Type of Activity Data_Scope3</t>
  </si>
  <si>
    <t>2.7</t>
  </si>
  <si>
    <t>GHG Protocol &amp; Greenhouse Gas Management Institute</t>
  </si>
  <si>
    <t>Sub bituminous coal</t>
  </si>
  <si>
    <t>Energy</t>
  </si>
  <si>
    <t xml:space="preserve"> </t>
  </si>
  <si>
    <t>Passenger Car - Small car, &lt;1.4 litre - Petrol (100% mineral petrol) (Motor Gasoline)</t>
  </si>
  <si>
    <t>Passenger Car - Medium car, 1.4 - 2.0 litres - Petrol (100% mineral petrol) (Motor Gasoline)</t>
  </si>
  <si>
    <t>Passenger Car - Large car, &gt;2.0 litres - Petrol (100% mineral petrol) (Motor Gasoline)</t>
  </si>
  <si>
    <t>Passenger Car - Average car - Petrol (100% mineral petrol) (Motor Gasoline)</t>
  </si>
  <si>
    <t>Passenger Car - Small car, &lt;1.7 litre - Diesel (100% mineral diesel)</t>
  </si>
  <si>
    <t>Passenger Car - Medium car, 1.7 - 2.0 litres - Diesel (100% mineral diesel)</t>
  </si>
  <si>
    <t>Passenger Car - Large car, &gt;2.0 litres - Diesel (100% mineral diesel)</t>
  </si>
  <si>
    <t>Passenger Car - Average car - Diesel (100% mineral diesel)</t>
  </si>
  <si>
    <t>Passenger Car - Small car, &lt;1.4 litre - Hybrid</t>
  </si>
  <si>
    <t>Passenger Car - Medium car, 1.4 - 2.0 litres - Hybrid</t>
  </si>
  <si>
    <t>Passenger Car - Large car, &gt;2.0 litres - Hybrid</t>
  </si>
  <si>
    <t>Passenger Car - Average car - Hybrid</t>
  </si>
  <si>
    <t>Passenger Car - Medium car, 1.4 - 2.0 litres - Compressed Natural Gas (CNG)</t>
  </si>
  <si>
    <t>Passenger Car - Large car, &gt;2.0 litres - Compressed Natural Gas (CNG)</t>
  </si>
  <si>
    <t>Passenger Car - Average car - Compressed Natural Gas (CNG)</t>
  </si>
  <si>
    <t>Passenger Car - Medium car, 1.4 - 2.0 litres - Liquefied Petroleum Gases (LPG)</t>
  </si>
  <si>
    <t>Passenger Car - Large car, &gt;2.0 litres - Liquefied Petroleum Gases (LPG)</t>
  </si>
  <si>
    <t>Passenger Car - Average car - Liquefied Petroleum Gases (LPG)</t>
  </si>
  <si>
    <t>Vans - Class I, ≤1.305 tonnes - Petrol (100% mineral petrol) (Motor Gasoline)</t>
  </si>
  <si>
    <t>Vans - Class II, &gt;1.305 to ≤1.74 tonnes - Petrol (100% mineral petrol) (Motor Gasoline)</t>
  </si>
  <si>
    <t>Vans - Class III, &gt;1.74 to ≤3.5 tonnes - Petrol (100% mineral petrol) (Motor Gasoline)</t>
  </si>
  <si>
    <t>Vans - Average (up to 3.5 tonnes) - Petrol (100% mineral petrol) (Motor Gasoline)</t>
  </si>
  <si>
    <t>Vans - Average (up to 3.5 tonnes) - Diesel (100% mineral diesel)</t>
  </si>
  <si>
    <t>Vans - Average (up to 3.5 tonnes) - Liquefied Petroleum Gases (LPG)</t>
  </si>
  <si>
    <t>Vans - Average (up to 3.5 tonnes) - Compressed Natural Gas (CNG)</t>
  </si>
  <si>
    <t>Motorbike - Small, ≤125 cc - Petrol (100% mineral petrol) (Motor Gasoline)</t>
  </si>
  <si>
    <t>Motorbike - Medium, &gt;125 and ≤500 cc - Petrol (100% mineral petrol) (Motor Gasoline)</t>
  </si>
  <si>
    <t>Motorbike - Large, &gt;500 cc - Petrol (100% mineral petrol) (Motor Gasoline)</t>
  </si>
  <si>
    <t>Motorbike - Average - Petrol (100% mineral petrol) (Motor Gasoline)</t>
  </si>
  <si>
    <t>HGV - Rigid - 3.5 - 7.5 tonnes - 0% Weight Laden - Diesel (100% mineral diesel)</t>
  </si>
  <si>
    <t>HGV - Rigid - 3.5 - 7.5 tonnes - 50% Weight Laden - Diesel (100% mineral diesel)</t>
  </si>
  <si>
    <t>HGV - Rigid - 3.5 - 7.5 tonnes - 100% Weight Laden - Diesel (100% mineral diesel)</t>
  </si>
  <si>
    <t>HGV - Rigid - 3.5 - 7.5 tonnes - Average Laden - Diesel (100% mineral diesel)</t>
  </si>
  <si>
    <t>HGV - Rigid - 7.5 - 17 tonnes - 0% Weight Laden - Diesel (100% mineral diesel)</t>
  </si>
  <si>
    <t>HGV - Rigid - 7.5 - 17 tonnes - 50% Weight Laden - Diesel (100% mineral diesel)</t>
  </si>
  <si>
    <t>HGV - Rigid - 7.5 - 17 tonnes - 100% Weight Laden - Diesel (100% mineral diesel)</t>
  </si>
  <si>
    <t>HGV - Rigid - 7.5 - 17 tonnes - Average Laden - Diesel (100% mineral diesel)</t>
  </si>
  <si>
    <t>HGV - Rigid - &gt;17 tonnes - 0% Weight Laden - Diesel (100% mineral diesel)</t>
  </si>
  <si>
    <t>HGV - Rigid - &gt;17 tonnes - 50% Weight Laden - Diesel (100% mineral diesel)</t>
  </si>
  <si>
    <t>HGV - Rigid - &gt;17 tonnes - 100% Weight Laden - Diesel (100% mineral diesel)</t>
  </si>
  <si>
    <t>HGV - Rigid - &gt;17 tonnes - Average Laden - Diesel (100% mineral diesel)</t>
  </si>
  <si>
    <t>HGV - Rigid - Average - Average Laden - Diesel (100% mineral diesel)</t>
  </si>
  <si>
    <t>HGV - Articulated - 3.5 - 33 tonnes - 0% Weight Laden - Diesel (100% mineral diesel)</t>
  </si>
  <si>
    <t>HGV - Articulated - 3.5 - 33 tonnes - 50% Weight Laden - Diesel (100% mineral diesel)</t>
  </si>
  <si>
    <t>HGV - Articulated - 3.5 - 33 tonnes - 100% Weight Laden - Diesel (100% mineral diesel)</t>
  </si>
  <si>
    <t>HGV - Articulated - 3.5 - 33 tonnes - Average Laden - Diesel (100% mineral diesel)</t>
  </si>
  <si>
    <t>HGV - Articulated -  &gt;33 tonnes - 0% Weight Laden - Diesel (100% mineral diesel)</t>
  </si>
  <si>
    <t>HGV - Articulated -  &gt;33 tonnes - 50% Weight Laden - Diesel (100% mineral diesel)</t>
  </si>
  <si>
    <t>HGV - Articulated - &gt;33 tonnes - 100% Weight Laden - Diesel (100% mineral diesel)</t>
  </si>
  <si>
    <t>HGV - Articulated -  &gt;33 tonnes - Average Laden - Diesel (100% mineral diesel)</t>
  </si>
  <si>
    <t>HGV - Articulated - Average - Average Laden - Diesel (100% mineral diesel)</t>
  </si>
  <si>
    <t>HGV - Type Unknown - Average - Average Laden - Diesel (100% mineral diesel)</t>
  </si>
  <si>
    <r>
      <t>Applied CO</t>
    </r>
    <r>
      <rPr>
        <b/>
        <vertAlign val="subscript"/>
        <sz val="10"/>
        <rFont val="Arial"/>
        <family val="2"/>
      </rPr>
      <t>2</t>
    </r>
    <r>
      <rPr>
        <b/>
        <sz val="10"/>
        <rFont val="Arial"/>
        <family val="2"/>
      </rPr>
      <t xml:space="preserve"> Emission Factors</t>
    </r>
  </si>
  <si>
    <r>
      <t>Applied CH</t>
    </r>
    <r>
      <rPr>
        <b/>
        <vertAlign val="subscript"/>
        <sz val="10"/>
        <rFont val="Arial"/>
        <family val="2"/>
      </rPr>
      <t>4</t>
    </r>
    <r>
      <rPr>
        <b/>
        <sz val="10"/>
        <rFont val="Arial"/>
        <family val="2"/>
      </rPr>
      <t xml:space="preserve"> Emission Factors </t>
    </r>
  </si>
  <si>
    <r>
      <t>Applied N</t>
    </r>
    <r>
      <rPr>
        <b/>
        <vertAlign val="subscript"/>
        <sz val="10"/>
        <rFont val="Arial"/>
        <family val="2"/>
      </rPr>
      <t>2</t>
    </r>
    <r>
      <rPr>
        <b/>
        <sz val="10"/>
        <rFont val="Arial"/>
        <family val="2"/>
      </rPr>
      <t xml:space="preserve">O Emission Factors </t>
    </r>
  </si>
  <si>
    <r>
      <t>Applied Biofuel CO</t>
    </r>
    <r>
      <rPr>
        <b/>
        <vertAlign val="subscript"/>
        <sz val="10"/>
        <rFont val="Arial"/>
        <family val="2"/>
      </rPr>
      <t>2</t>
    </r>
    <r>
      <rPr>
        <b/>
        <sz val="10"/>
        <rFont val="Arial"/>
        <family val="2"/>
      </rPr>
      <t xml:space="preserve"> Emission Factors </t>
    </r>
  </si>
  <si>
    <t>Summary of Emissions</t>
  </si>
  <si>
    <t>Fuel Economy (km/L)</t>
  </si>
  <si>
    <t>US Scope 3 Vehicle Distance (public or freight)</t>
  </si>
  <si>
    <t>Vehicle Distance (e.g. Public or Freight Transport)</t>
  </si>
  <si>
    <r>
      <t>CO</t>
    </r>
    <r>
      <rPr>
        <vertAlign val="subscript"/>
        <sz val="8"/>
        <rFont val="Arial"/>
        <family val="2"/>
      </rPr>
      <t>2</t>
    </r>
  </si>
  <si>
    <r>
      <t>CH</t>
    </r>
    <r>
      <rPr>
        <vertAlign val="subscript"/>
        <sz val="8"/>
        <rFont val="Arial"/>
        <family val="2"/>
      </rPr>
      <t>4</t>
    </r>
  </si>
  <si>
    <r>
      <t>N</t>
    </r>
    <r>
      <rPr>
        <vertAlign val="subscript"/>
        <sz val="8"/>
        <rFont val="Arial"/>
        <family val="2"/>
      </rPr>
      <t>2</t>
    </r>
    <r>
      <rPr>
        <sz val="8"/>
        <rFont val="Arial"/>
        <family val="2"/>
      </rPr>
      <t>O</t>
    </r>
  </si>
  <si>
    <t>Dropdown ref</t>
  </si>
  <si>
    <t>Vehicle Data</t>
  </si>
  <si>
    <t>Fuel Data</t>
  </si>
  <si>
    <t>Applied Emission Factors</t>
  </si>
  <si>
    <r>
      <t>Fossil Fuel CO</t>
    </r>
    <r>
      <rPr>
        <b/>
        <vertAlign val="subscript"/>
        <sz val="10"/>
        <color theme="0"/>
        <rFont val="Arial"/>
        <family val="2"/>
      </rPr>
      <t>2</t>
    </r>
    <r>
      <rPr>
        <b/>
        <sz val="10"/>
        <color theme="0"/>
        <rFont val="Arial"/>
        <family val="2"/>
      </rPr>
      <t xml:space="preserve">
</t>
    </r>
    <r>
      <rPr>
        <sz val="10"/>
        <color theme="0"/>
        <rFont val="Arial"/>
        <family val="2"/>
      </rPr>
      <t>(metric tonnes)</t>
    </r>
  </si>
  <si>
    <r>
      <t>CH</t>
    </r>
    <r>
      <rPr>
        <b/>
        <vertAlign val="subscript"/>
        <sz val="10"/>
        <color theme="0"/>
        <rFont val="Arial"/>
        <family val="2"/>
      </rPr>
      <t>4</t>
    </r>
    <r>
      <rPr>
        <b/>
        <sz val="10"/>
        <color theme="0"/>
        <rFont val="Arial"/>
        <family val="2"/>
      </rPr>
      <t xml:space="preserve">
</t>
    </r>
    <r>
      <rPr>
        <sz val="10"/>
        <color theme="0"/>
        <rFont val="Arial"/>
        <family val="2"/>
      </rPr>
      <t>(kilograms)</t>
    </r>
  </si>
  <si>
    <r>
      <t>N</t>
    </r>
    <r>
      <rPr>
        <b/>
        <vertAlign val="subscript"/>
        <sz val="10"/>
        <color theme="0"/>
        <rFont val="Arial"/>
        <family val="2"/>
      </rPr>
      <t>2</t>
    </r>
    <r>
      <rPr>
        <b/>
        <sz val="10"/>
        <color theme="0"/>
        <rFont val="Arial"/>
        <family val="2"/>
      </rPr>
      <t xml:space="preserve">O
</t>
    </r>
    <r>
      <rPr>
        <sz val="10"/>
        <color theme="0"/>
        <rFont val="Arial"/>
        <family val="2"/>
      </rPr>
      <t>(kilograms)</t>
    </r>
  </si>
  <si>
    <r>
      <t>Total GHG Emissions, exclude Biofuel CO</t>
    </r>
    <r>
      <rPr>
        <b/>
        <vertAlign val="subscript"/>
        <sz val="10"/>
        <color theme="0"/>
        <rFont val="Arial"/>
        <family val="2"/>
      </rPr>
      <t>2</t>
    </r>
    <r>
      <rPr>
        <b/>
        <sz val="10"/>
        <color theme="0"/>
        <rFont val="Arial"/>
        <family val="2"/>
      </rPr>
      <t xml:space="preserve">
</t>
    </r>
    <r>
      <rPr>
        <sz val="10"/>
        <color theme="0"/>
        <rFont val="Arial"/>
        <family val="2"/>
      </rPr>
      <t>(metric tonnes CO</t>
    </r>
    <r>
      <rPr>
        <vertAlign val="subscript"/>
        <sz val="10"/>
        <color theme="0"/>
        <rFont val="Arial"/>
        <family val="2"/>
      </rPr>
      <t>2</t>
    </r>
    <r>
      <rPr>
        <sz val="10"/>
        <color theme="0"/>
        <rFont val="Arial"/>
        <family val="2"/>
      </rPr>
      <t>e)</t>
    </r>
  </si>
  <si>
    <r>
      <t>Biofuel CO</t>
    </r>
    <r>
      <rPr>
        <b/>
        <vertAlign val="subscript"/>
        <sz val="10"/>
        <color theme="0"/>
        <rFont val="Arial"/>
        <family val="2"/>
      </rPr>
      <t>2</t>
    </r>
    <r>
      <rPr>
        <b/>
        <sz val="10"/>
        <color theme="0"/>
        <rFont val="Arial"/>
        <family val="2"/>
      </rPr>
      <t xml:space="preserve"> Emissions
</t>
    </r>
    <r>
      <rPr>
        <sz val="10"/>
        <color theme="0"/>
        <rFont val="Arial"/>
        <family val="2"/>
      </rPr>
      <t>(metric tonnes)</t>
    </r>
  </si>
  <si>
    <r>
      <t>Biofuel CO</t>
    </r>
    <r>
      <rPr>
        <b/>
        <vertAlign val="subscript"/>
        <sz val="10"/>
        <color theme="0"/>
        <rFont val="Arial"/>
        <family val="2"/>
      </rPr>
      <t>2</t>
    </r>
    <r>
      <rPr>
        <b/>
        <sz val="10"/>
        <color theme="0"/>
        <rFont val="Arial"/>
        <family val="2"/>
      </rPr>
      <t xml:space="preserve"> Emission
</t>
    </r>
    <r>
      <rPr>
        <sz val="10"/>
        <color theme="0"/>
        <rFont val="Arial"/>
        <family val="2"/>
      </rPr>
      <t>(metric tonnes)</t>
    </r>
  </si>
  <si>
    <t>Required field. Region where emission activities occurred.</t>
  </si>
  <si>
    <t>Required field. For filtering the list of Vehicle Types.</t>
  </si>
  <si>
    <t>Required field. Specify either Scope 1 or Scope 3.</t>
  </si>
  <si>
    <t>Required field. Specify the type of activity data you have available for use to calculate GHG emissions</t>
  </si>
  <si>
    <t>For Weight-Distance activities only. Total freight weight.</t>
  </si>
  <si>
    <t>For Passenger-Distance activities only. For example, number of employees in transportation.</t>
  </si>
  <si>
    <t>Methanol</t>
  </si>
  <si>
    <t>(UK EF Dataset Only) 
Implied fuel economy (km/L)</t>
  </si>
  <si>
    <r>
      <t>Unit</t>
    </r>
    <r>
      <rPr>
        <b/>
        <strike/>
        <sz val="10"/>
        <color theme="0"/>
        <rFont val="Arial"/>
        <family val="2"/>
      </rPr>
      <t>s</t>
    </r>
    <r>
      <rPr>
        <b/>
        <sz val="10"/>
        <color theme="0"/>
        <rFont val="Arial"/>
        <family val="2"/>
      </rPr>
      <t xml:space="preserve"> of Measurement</t>
    </r>
  </si>
  <si>
    <t># of Passengers</t>
  </si>
  <si>
    <t>i</t>
  </si>
  <si>
    <t>Other tools can be downloaded from the GHG Protocol website</t>
  </si>
  <si>
    <t xml:space="preserve">Please select a GWP set: </t>
  </si>
  <si>
    <t>Note: The use of the latest GWP values is recommended.</t>
  </si>
  <si>
    <r>
      <t xml:space="preserve">Numerator
</t>
    </r>
    <r>
      <rPr>
        <sz val="10"/>
        <color theme="0"/>
        <rFont val="Arial"/>
        <family val="2"/>
      </rPr>
      <t>(e.g., kg of GHG)</t>
    </r>
  </si>
  <si>
    <r>
      <t xml:space="preserve">Denominator
</t>
    </r>
    <r>
      <rPr>
        <sz val="10"/>
        <color theme="0"/>
        <rFont val="Arial"/>
        <family val="2"/>
      </rPr>
      <t>(e.g., kilometer)</t>
    </r>
  </si>
  <si>
    <r>
      <t>Fossil CO</t>
    </r>
    <r>
      <rPr>
        <vertAlign val="subscript"/>
        <sz val="10"/>
        <color theme="0"/>
        <rFont val="Arial"/>
        <family val="2"/>
      </rPr>
      <t>2</t>
    </r>
  </si>
  <si>
    <r>
      <t>CH</t>
    </r>
    <r>
      <rPr>
        <vertAlign val="subscript"/>
        <sz val="10"/>
        <color theme="0"/>
        <rFont val="Arial"/>
        <family val="2"/>
      </rPr>
      <t>4</t>
    </r>
  </si>
  <si>
    <r>
      <t>N</t>
    </r>
    <r>
      <rPr>
        <vertAlign val="subscript"/>
        <sz val="10"/>
        <color theme="0"/>
        <rFont val="Arial"/>
        <family val="2"/>
      </rPr>
      <t>2</t>
    </r>
    <r>
      <rPr>
        <sz val="10"/>
        <color theme="0"/>
        <rFont val="Arial"/>
        <family val="2"/>
      </rPr>
      <t>O</t>
    </r>
  </si>
  <si>
    <t>Select IPCC Global Warming Potential</t>
  </si>
  <si>
    <t>Set Custom Fuel Type</t>
  </si>
  <si>
    <t>Set Custom Vehicle Type</t>
  </si>
  <si>
    <r>
      <t>Biofuel CO</t>
    </r>
    <r>
      <rPr>
        <vertAlign val="subscript"/>
        <sz val="10"/>
        <color theme="0"/>
        <rFont val="Arial"/>
        <family val="2"/>
      </rPr>
      <t>2</t>
    </r>
  </si>
  <si>
    <t xml:space="preserve">Please select an EF set: </t>
  </si>
  <si>
    <t>CO2 Factor</t>
  </si>
  <si>
    <t>CO2 Factor Unit - Numerator</t>
  </si>
  <si>
    <t>CO2 Factor Unit - Denominator</t>
  </si>
  <si>
    <t>CO2 Biomass Factor</t>
  </si>
  <si>
    <t>CO2 Biomass Factor Unit - Numerator</t>
  </si>
  <si>
    <t>CO2 Biomass Factor Unit - Denominator</t>
  </si>
  <si>
    <t>CH4 Factor</t>
  </si>
  <si>
    <t>CH4 Factor Unit - Numerator</t>
  </si>
  <si>
    <t>CH4 Factor Unit - Denominator</t>
  </si>
  <si>
    <t>N2O Factor</t>
  </si>
  <si>
    <t>N2O Factor Unit - Numerator</t>
  </si>
  <si>
    <t>N2O Factor Unit - Denominator</t>
  </si>
  <si>
    <t>CO2 in Factor Unit Conversion -Numerator</t>
  </si>
  <si>
    <t>CO2 in Factor Unit Conversion -Denominator</t>
  </si>
  <si>
    <t>CO2 Biomass in Factor Unit Conversion -Numerator</t>
  </si>
  <si>
    <t>CO2 Biomass in Factor Unit  Conversion -Denominator</t>
  </si>
  <si>
    <t>CH4 in Factor Unit Conversion -Numerator</t>
  </si>
  <si>
    <t>CH4 in Factor Unit  Conversion -Denominator</t>
  </si>
  <si>
    <t>N2O in Factor Unit Conversion -Numerator</t>
  </si>
  <si>
    <t>N2O in Factor Unit Conversion -Denominator</t>
  </si>
  <si>
    <t>CH4IPCC GWP Values</t>
  </si>
  <si>
    <t>CO2Bio IPCC GWP Values</t>
  </si>
  <si>
    <t>Formula for Vehicle dropdown</t>
  </si>
  <si>
    <t>If range exist</t>
  </si>
  <si>
    <t>CO2 Factor Fuel Use</t>
  </si>
  <si>
    <t>CO2 Factor Distance Use</t>
  </si>
  <si>
    <t>CH4 Factor Fuel Use</t>
  </si>
  <si>
    <t>CH4 Factor Distance Use</t>
  </si>
  <si>
    <t>N2O Factor Fuel Use</t>
  </si>
  <si>
    <t>N2O Factor Distance Use</t>
  </si>
  <si>
    <t>CO2 For Road</t>
  </si>
  <si>
    <t>CO2 For Rail</t>
  </si>
  <si>
    <t>CO2 For Water</t>
  </si>
  <si>
    <t>CO2 For Aircraft</t>
  </si>
  <si>
    <t>CO2 for Offroad</t>
  </si>
  <si>
    <t>CH4 For Road</t>
  </si>
  <si>
    <t>CH4 For Rail</t>
  </si>
  <si>
    <t>CH4 For Water</t>
  </si>
  <si>
    <t>CH4 For Aircraft</t>
  </si>
  <si>
    <t>CH4 for Offroad</t>
  </si>
  <si>
    <t>N2O For Road</t>
  </si>
  <si>
    <t>N2O For Rail</t>
  </si>
  <si>
    <t>N2O For Water</t>
  </si>
  <si>
    <t>N2O For Aircraft</t>
  </si>
  <si>
    <t>N2O For Offroad</t>
  </si>
  <si>
    <t>CO2 For Offroad</t>
  </si>
  <si>
    <t>CH4 For Offroad</t>
  </si>
  <si>
    <t>Vehicle Unit dropdown</t>
  </si>
  <si>
    <t>Type of activity data</t>
  </si>
  <si>
    <t>Type of formula for Scope 3 Calculations</t>
  </si>
  <si>
    <t>LOOK</t>
  </si>
  <si>
    <t>Air Transportation</t>
  </si>
  <si>
    <t>All Transport Modes</t>
  </si>
  <si>
    <t>kg N2O/TJ</t>
  </si>
  <si>
    <t>Fuel TJ/Gg</t>
  </si>
  <si>
    <t>kg CH4/TJ</t>
  </si>
  <si>
    <t>Fuel Density (kg/litre)</t>
  </si>
  <si>
    <t>Type of Activity Data_Other_UK</t>
  </si>
  <si>
    <t>CH4, N2O Emission Factors for UK by Vehicle Distance</t>
  </si>
  <si>
    <t xml:space="preserve"> -- 2006 IPCC Guidelines --</t>
  </si>
  <si>
    <t xml:space="preserve"> -- US --</t>
  </si>
  <si>
    <t xml:space="preserve"> --UK--</t>
  </si>
  <si>
    <r>
      <t>CO</t>
    </r>
    <r>
      <rPr>
        <b/>
        <vertAlign val="subscript"/>
        <sz val="10"/>
        <color theme="0"/>
        <rFont val="Arial"/>
        <family val="2"/>
      </rPr>
      <t>2</t>
    </r>
  </si>
  <si>
    <r>
      <t>CO</t>
    </r>
    <r>
      <rPr>
        <b/>
        <vertAlign val="subscript"/>
        <sz val="10"/>
        <color theme="0"/>
        <rFont val="Arial"/>
        <family val="2"/>
      </rPr>
      <t>2</t>
    </r>
    <r>
      <rPr>
        <b/>
        <sz val="10"/>
        <color theme="0"/>
        <rFont val="Arial"/>
        <family val="2"/>
      </rPr>
      <t xml:space="preserve"> - Biomass Fuel</t>
    </r>
  </si>
  <si>
    <r>
      <t>CO</t>
    </r>
    <r>
      <rPr>
        <b/>
        <vertAlign val="subscript"/>
        <sz val="10"/>
        <color theme="0"/>
        <rFont val="Arial"/>
        <family val="2"/>
      </rPr>
      <t>2</t>
    </r>
    <r>
      <rPr>
        <b/>
        <sz val="10"/>
        <color theme="0"/>
        <rFont val="Arial"/>
        <family val="2"/>
      </rPr>
      <t xml:space="preserve"> Unit - Numerator</t>
    </r>
  </si>
  <si>
    <r>
      <t>CO</t>
    </r>
    <r>
      <rPr>
        <b/>
        <vertAlign val="subscript"/>
        <sz val="10"/>
        <color theme="0"/>
        <rFont val="Arial"/>
        <family val="2"/>
      </rPr>
      <t>2</t>
    </r>
    <r>
      <rPr>
        <b/>
        <sz val="10"/>
        <color theme="0"/>
        <rFont val="Arial"/>
        <family val="2"/>
      </rPr>
      <t xml:space="preserve"> Unit - Denominator</t>
    </r>
  </si>
  <si>
    <t>Select Emission Factor Set for 'Other' Regions</t>
  </si>
  <si>
    <t>kg CH4/Gg fuel</t>
  </si>
  <si>
    <t>kg N2O/Gg fuel</t>
  </si>
  <si>
    <t>Select:</t>
  </si>
  <si>
    <t>Calculation Tools Disclaimer</t>
  </si>
  <si>
    <t>These spreadsheets and associated materials have been prepared with a high degree of expertise and professionalism, and it is believed that they provide a useful and accurate approach for calculating greenhouse gas emissions. However, the organizations involved in their development collectively and individually, do not warrant these spreadsheets for any purpose, nor do they make any representations regarding their fitness for any use or purpose whatsoever.
Each user agrees to decide if, when, and how to use these spreadsheets and does so at his or her sole risk. When using the tools provided on the GHG Protocol website, you agree that you are not entitled to rely on any information generated using these worksheets. You further agree to hold WRI, WBCSD, and any of their partners in the creation of the tools, harmless for loss you might suffer arising out of: any inaccuracies in numbers generated by the worksheets or variation between predictions and your actual results. Under no circumstances shall WRI, WBCSD, or any of their partners that helped create the tools, be liable for any damages, including incidental, special or consequential damages, arising from the use of these spreadsheets or an inability to use them.
If you distribute these tools through any means other than the GHG Protocol website at www.ghgprotocol.org, you should check the website to ensure the tool being provided is the latest version available, and provide information to users on how to check for updates and revisions to the tools.</t>
  </si>
  <si>
    <r>
      <rPr>
        <sz val="11"/>
        <rFont val="Arial"/>
        <family val="2"/>
      </rPr>
      <t xml:space="preserve">For any inquiries, please contact the Greenhouse Gas Protocol </t>
    </r>
    <r>
      <rPr>
        <u/>
        <sz val="11"/>
        <color theme="10"/>
        <rFont val="Arial"/>
        <family val="2"/>
      </rPr>
      <t>Technical Support Form</t>
    </r>
  </si>
  <si>
    <t>Updated emission factors and included functionality for users to configure Other region. Added functionality to display emission factors applied in calculations.</t>
  </si>
  <si>
    <t>Reference</t>
  </si>
  <si>
    <t>If you have vehicle-specific emission factors not found in this calculator, you may enter them below and provide 1) vehicle information, 2) EF by individual GHG, 3) units, and 4) document the reference document. Your emission factors can be accessed in the calculator by selecting the 'Custom Vehicle' category.</t>
  </si>
  <si>
    <r>
      <t>This tool contains a compilation of emission factors (EFs) for CO</t>
    </r>
    <r>
      <rPr>
        <vertAlign val="subscript"/>
        <sz val="10"/>
        <rFont val="Arial"/>
        <family val="2"/>
      </rPr>
      <t>2</t>
    </r>
    <r>
      <rPr>
        <sz val="10"/>
        <rFont val="Arial"/>
        <family val="2"/>
      </rPr>
      <t>, CH</t>
    </r>
    <r>
      <rPr>
        <vertAlign val="subscript"/>
        <sz val="10"/>
        <rFont val="Arial"/>
        <family val="2"/>
      </rPr>
      <t>4</t>
    </r>
    <r>
      <rPr>
        <sz val="10"/>
        <rFont val="Arial"/>
        <family val="2"/>
      </rPr>
      <t>, and N</t>
    </r>
    <r>
      <rPr>
        <vertAlign val="subscript"/>
        <sz val="10"/>
        <rFont val="Arial"/>
        <family val="2"/>
      </rPr>
      <t>2</t>
    </r>
    <r>
      <rPr>
        <sz val="10"/>
        <rFont val="Arial"/>
        <family val="2"/>
      </rPr>
      <t>O as sourced from original publication sources (refer to GHG Protocol's Emission Factors from Cross Sector Tools for additional documentation). If you have fuel-specific emission factors not found in this calculator, you may enter them below and provide 1) fuel name, 2) EF by individual GHG, 3) units, and 4) document the reference document. Your emission factors can be accessed in the calculator by selecting the 'Custom Fuel' category.</t>
    </r>
  </si>
  <si>
    <t>The tool will display errors or data gaps below, if any, based on user's entries.</t>
  </si>
  <si>
    <r>
      <t xml:space="preserve">Denominator
</t>
    </r>
    <r>
      <rPr>
        <sz val="10"/>
        <color theme="0"/>
        <rFont val="Arial"/>
        <family val="2"/>
      </rPr>
      <t>(e.g., litres of fuel)</t>
    </r>
  </si>
  <si>
    <r>
      <rPr>
        <sz val="11"/>
        <rFont val="Arial"/>
        <family val="2"/>
      </rPr>
      <t>This tool calculates the CO</t>
    </r>
    <r>
      <rPr>
        <vertAlign val="subscript"/>
        <sz val="11"/>
        <rFont val="Arial"/>
        <family val="2"/>
      </rPr>
      <t>2</t>
    </r>
    <r>
      <rPr>
        <sz val="11"/>
        <rFont val="Arial"/>
        <family val="2"/>
      </rPr>
      <t>, CH</t>
    </r>
    <r>
      <rPr>
        <vertAlign val="subscript"/>
        <sz val="11"/>
        <rFont val="Arial"/>
        <family val="2"/>
      </rPr>
      <t>4</t>
    </r>
    <r>
      <rPr>
        <sz val="11"/>
        <rFont val="Arial"/>
        <family val="2"/>
      </rPr>
      <t xml:space="preserve"> and N</t>
    </r>
    <r>
      <rPr>
        <vertAlign val="subscript"/>
        <sz val="11"/>
        <rFont val="Arial"/>
        <family val="2"/>
      </rPr>
      <t>2</t>
    </r>
    <r>
      <rPr>
        <sz val="11"/>
        <rFont val="Arial"/>
        <family val="2"/>
      </rPr>
      <t>O emissions from:</t>
    </r>
    <r>
      <rPr>
        <sz val="10"/>
        <rFont val="Arial"/>
        <family val="2"/>
      </rPr>
      <t xml:space="preserve">
</t>
    </r>
    <r>
      <rPr>
        <sz val="6"/>
        <rFont val="Webdings"/>
        <family val="1"/>
        <charset val="2"/>
      </rPr>
      <t>n</t>
    </r>
    <r>
      <rPr>
        <sz val="10"/>
        <rFont val="Arial"/>
        <family val="2"/>
      </rPr>
      <t xml:space="preserve"> </t>
    </r>
    <r>
      <rPr>
        <sz val="11"/>
        <rFont val="Arial"/>
        <family val="2"/>
      </rPr>
      <t>Vehicles that are owned/controlled by you</t>
    </r>
    <r>
      <rPr>
        <sz val="10"/>
        <rFont val="Arial"/>
        <family val="2"/>
      </rPr>
      <t xml:space="preserve">
</t>
    </r>
    <r>
      <rPr>
        <sz val="6"/>
        <rFont val="Webdings"/>
        <family val="1"/>
        <charset val="2"/>
      </rPr>
      <t>n</t>
    </r>
    <r>
      <rPr>
        <sz val="10"/>
        <rFont val="Arial"/>
        <family val="2"/>
      </rPr>
      <t xml:space="preserve"> </t>
    </r>
    <r>
      <rPr>
        <sz val="11"/>
        <rFont val="Arial"/>
        <family val="2"/>
      </rPr>
      <t>Public (or outsourced) transportation (e.g., transportation from employee commuting and business travel)</t>
    </r>
    <r>
      <rPr>
        <sz val="10"/>
        <rFont val="Arial"/>
        <family val="2"/>
      </rPr>
      <t xml:space="preserve">
</t>
    </r>
    <r>
      <rPr>
        <sz val="6"/>
        <rFont val="Webdings"/>
        <family val="1"/>
        <charset val="2"/>
      </rPr>
      <t>n</t>
    </r>
    <r>
      <rPr>
        <sz val="10"/>
        <rFont val="Arial"/>
        <family val="2"/>
      </rPr>
      <t xml:space="preserve"> </t>
    </r>
    <r>
      <rPr>
        <sz val="11"/>
        <rFont val="Arial"/>
        <family val="2"/>
      </rPr>
      <t>Mobile machinery, such as agricultural and construction equipment.</t>
    </r>
    <r>
      <rPr>
        <sz val="10"/>
        <rFont val="Arial"/>
        <family val="2"/>
      </rPr>
      <t xml:space="preserve">
</t>
    </r>
  </si>
  <si>
    <r>
      <rPr>
        <sz val="11"/>
        <rFont val="Arial"/>
        <family val="2"/>
      </rPr>
      <t>If multipliers or other corrections to account for non-CO</t>
    </r>
    <r>
      <rPr>
        <vertAlign val="subscript"/>
        <sz val="11"/>
        <rFont val="Arial"/>
        <family val="2"/>
      </rPr>
      <t>2</t>
    </r>
    <r>
      <rPr>
        <sz val="11"/>
        <rFont val="Arial"/>
        <family val="2"/>
      </rPr>
      <t xml:space="preserve"> radiative forcing effects of aircraft emissions, this multiplier should be documented in the inventory report.</t>
    </r>
  </si>
  <si>
    <t xml:space="preserve">Error Encountered </t>
  </si>
  <si>
    <r>
      <t xml:space="preserve">Scope 1
</t>
    </r>
    <r>
      <rPr>
        <sz val="10"/>
        <color theme="0"/>
        <rFont val="Arial"/>
        <family val="2"/>
      </rPr>
      <t>(metric tonnes)</t>
    </r>
  </si>
  <si>
    <r>
      <t xml:space="preserve">Scope 3
</t>
    </r>
    <r>
      <rPr>
        <sz val="10"/>
        <color theme="0"/>
        <rFont val="Arial"/>
        <family val="2"/>
      </rPr>
      <t>(metric tonnes)</t>
    </r>
  </si>
  <si>
    <r>
      <t>Total</t>
    </r>
    <r>
      <rPr>
        <sz val="10"/>
        <color theme="0"/>
        <rFont val="Arial"/>
        <family val="2"/>
      </rPr>
      <t xml:space="preserve"> (metric tonnes CO</t>
    </r>
    <r>
      <rPr>
        <vertAlign val="subscript"/>
        <sz val="10"/>
        <color theme="0"/>
        <rFont val="Arial"/>
        <family val="2"/>
      </rPr>
      <t>2</t>
    </r>
    <r>
      <rPr>
        <sz val="10"/>
        <color theme="0"/>
        <rFont val="Arial"/>
        <family val="2"/>
      </rPr>
      <t>e)</t>
    </r>
  </si>
  <si>
    <r>
      <t>Total anthropogenic
GHG Emission</t>
    </r>
    <r>
      <rPr>
        <sz val="10"/>
        <color theme="0"/>
        <rFont val="Arial"/>
        <family val="2"/>
      </rPr>
      <t xml:space="preserve"> (metric tonnes CO</t>
    </r>
    <r>
      <rPr>
        <vertAlign val="subscript"/>
        <sz val="10"/>
        <color theme="0"/>
        <rFont val="Arial"/>
        <family val="2"/>
      </rPr>
      <t>2</t>
    </r>
    <r>
      <rPr>
        <sz val="10"/>
        <color theme="0"/>
        <rFont val="Arial"/>
        <family val="2"/>
      </rPr>
      <t>e)</t>
    </r>
  </si>
  <si>
    <t>Total Emissions (metric tonnes GHG)</t>
  </si>
  <si>
    <r>
      <rPr>
        <b/>
        <sz val="10"/>
        <rFont val="Arial"/>
        <family val="2"/>
      </rPr>
      <t>Note</t>
    </r>
    <r>
      <rPr>
        <sz val="10"/>
        <rFont val="Arial"/>
        <family val="2"/>
      </rPr>
      <t>: Implied average fuel economy (km/L) was derived the distance-based EFs (kg CO</t>
    </r>
    <r>
      <rPr>
        <vertAlign val="subscript"/>
        <sz val="10"/>
        <rFont val="Arial"/>
        <family val="2"/>
      </rPr>
      <t>2</t>
    </r>
    <r>
      <rPr>
        <sz val="10"/>
        <rFont val="Arial"/>
        <family val="2"/>
      </rPr>
      <t>/km) from by U.K. Defra using fuel-based CO</t>
    </r>
    <r>
      <rPr>
        <vertAlign val="subscript"/>
        <sz val="10"/>
        <rFont val="Arial"/>
        <family val="2"/>
      </rPr>
      <t>2</t>
    </r>
    <r>
      <rPr>
        <sz val="10"/>
        <rFont val="Arial"/>
        <family val="2"/>
      </rPr>
      <t xml:space="preserve"> emission factors (kg/L). The fuel-based values are also found in Table 1 under Mobile Combustion - Fuel Use of The Emission Factors from Cross-Sector Tools V2.0 (2024). </t>
    </r>
  </si>
  <si>
    <t>Vehicle (e.g., model, year, engine type)</t>
  </si>
  <si>
    <t>GWPs compare the radiative forcing impact of different greenhouse gases with that of CO2 over an integrated time period, and they are used to calculate emissions in terms of CO2-equivalents. As scientific understanding advances, the GWP values of GHGs can change. By default, this tool uses the GWP values from the IPCC's Sixth Assessment Report (2021), but you may use other GWP sets. In all cases, which GWP values you use must be documented in your reporting.</t>
  </si>
  <si>
    <r>
      <t xml:space="preserve">For emission sources in non-UK and non-USA countries, users may select the ‘Other’ under Region in </t>
    </r>
    <r>
      <rPr>
        <b/>
        <sz val="10"/>
        <color rgb="FF00ACA2"/>
        <rFont val="Arial"/>
        <family val="2"/>
      </rPr>
      <t>calculator</t>
    </r>
    <r>
      <rPr>
        <sz val="10"/>
        <color rgb="FF000000"/>
        <rFont val="Arial"/>
        <family val="2"/>
      </rPr>
      <t xml:space="preserve"> tab. The default factors for Other region are either from 2006 IPCC Guidelines or country-specific (UK or USA). For these 'Other' sources, users should identify which county-specific EF set (UK or USA) would be most representative and applicable to their emission sources for sources for transport types not covered by the 2006 IPCC Guidelines EF set (e.g., public transport). The tool will automatically apply the selected set of EFs based on user's selection below.</t>
    </r>
  </si>
  <si>
    <t>Biofuel CO2 Factor Fuel Use</t>
  </si>
  <si>
    <t>Biofuel CO2 Factor Distance use</t>
  </si>
  <si>
    <t>Biofuel CO2 Road</t>
  </si>
  <si>
    <t>Biofuel CO2 Rail</t>
  </si>
  <si>
    <t>Biofuel CO2 Water</t>
  </si>
  <si>
    <t>Biofuel CO2 Aircraft</t>
  </si>
  <si>
    <t>Biofuel CO2 Offroad</t>
  </si>
  <si>
    <t>Partial formula to calculate total GHG emissions</t>
  </si>
  <si>
    <r>
      <t xml:space="preserve">Calculator 1:  Use this calculator to derive total fuel consumption, if value is unknown.
Distance travelled and fuel efficiency are known values. </t>
    </r>
    <r>
      <rPr>
        <b/>
        <u/>
        <sz val="9"/>
        <color theme="0"/>
        <rFont val="Arial"/>
        <family val="2"/>
      </rPr>
      <t>Total fuel consumption</t>
    </r>
    <r>
      <rPr>
        <b/>
        <sz val="9"/>
        <color theme="0"/>
        <rFont val="Arial"/>
        <family val="2"/>
      </rPr>
      <t xml:space="preserve"> is calculated.</t>
    </r>
  </si>
  <si>
    <r>
      <t xml:space="preserve">Calculator 2:  Use this calculator to derive total distance travelled, if value is unknown.
Distance travelled and fuel efficiency are known values (in different units). </t>
    </r>
    <r>
      <rPr>
        <b/>
        <u/>
        <sz val="9"/>
        <color theme="0"/>
        <rFont val="Arial"/>
        <family val="2"/>
      </rPr>
      <t>Total distance travelled</t>
    </r>
    <r>
      <rPr>
        <b/>
        <sz val="9"/>
        <color theme="0"/>
        <rFont val="Arial"/>
        <family val="2"/>
      </rPr>
      <t xml:space="preserve"> is calculated.</t>
    </r>
  </si>
  <si>
    <t>Modified text in parts of the tool. Calculation formulae and emission factors were not adjusted.</t>
  </si>
  <si>
    <t xml:space="preserve">The emission factors used in this tool come from the UK Dept. for Environment, Food and Rural Affairs (DEFRA), the US Environmental Protection Agency (EPA) and the Intergovernmental Panel on Climate Change’s (IPCC) 2006 Guidelines for National Greenhouse Gas Inventories. The tool was originally developed by Clear Standards Inc. in collaboration with WRI and last modified with the support of the Greenhouse Gas Management Institute (www.ghginstitute.org). 
Please cite this tool using the following format:
World Resources Institute (2024). GHG Protocol tool for mobile combustion. Version 2.6.
For questions or suggestions on its contents, please contact the GHG Protocol at: technicalsupport@ghgprotocol.org
</t>
  </si>
  <si>
    <t>The calculators below allow users to estimate missing activity data from mobile sources. Users can use:
1) Calculator 1 to derive total fuel consumption.
2) Calculator 2 to derive total distance travelled.
Users may also reference the tables below to identify average fuel economy for vehicles in the U.S. and U.K.</t>
  </si>
  <si>
    <r>
      <rPr>
        <b/>
        <sz val="11"/>
        <rFont val="Arial"/>
        <family val="2"/>
      </rPr>
      <t>Calculating GHG Emissions from Mobile Combustion</t>
    </r>
    <r>
      <rPr>
        <sz val="11"/>
        <rFont val="Arial"/>
        <family val="2"/>
      </rPr>
      <t xml:space="preserve">
Version 2.7, September 2024
This tool was last modified in September 2024 with the support of the Greenhouse Gas Management Institute (www.ghginstitute.org).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</si>
</sst>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quot;$&quot;* #,##0.00_);_(&quot;$&quot;* \(#,##0.00\);_(&quot;$&quot;* &quot;-&quot;??_);_(@_)"/>
    <numFmt numFmtId="43" formatCode="_(* #,##0.00_);_(* \(#,##0.00\);_(* &quot;-&quot;??_);_(@_)"/>
    <numFmt numFmtId="164" formatCode="0.000"/>
    <numFmt numFmtId="165" formatCode="0.0000000000"/>
    <numFmt numFmtId="166" formatCode="[=0]0;[&lt;0.001]0.000E+00;0.000"/>
    <numFmt numFmtId="167" formatCode="[$-409]mmmm\ d\,\ yyyy;@"/>
    <numFmt numFmtId="168" formatCode="0.0"/>
    <numFmt numFmtId="169" formatCode="_(* #,##0.00000_);_(* \(#,##0.00000\);_(* &quot;-&quot;??_);_(@_)"/>
    <numFmt numFmtId="170" formatCode="_(* #,##0.000_);_(* \(#,##0.000\);_(* &quot;-&quot;??_);_(@_)"/>
    <numFmt numFmtId="171" formatCode="0.0000"/>
    <numFmt numFmtId="172" formatCode="0.00000"/>
    <numFmt numFmtId="173" formatCode="_(* #,##0.000000_);_(* \(#,##0.000000\);_(* &quot;-&quot;??_);_(@_)"/>
    <numFmt numFmtId="174" formatCode="_(* #,##0.000000_);_(* \(#,##0.000000\);_(* &quot;-&quot;??????_);_(@_)"/>
    <numFmt numFmtId="175" formatCode="[=0]0;[&lt;0.001]0.00E+00;0.00"/>
  </numFmts>
  <fonts count="72" x14ac:knownFonts="1">
    <font>
      <sz val="10"/>
      <name val="Arial"/>
    </font>
    <font>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b/>
      <sz val="10"/>
      <name val="Arial"/>
      <family val="2"/>
    </font>
    <font>
      <b/>
      <sz val="10"/>
      <color indexed="9"/>
      <name val="Arial"/>
      <family val="2"/>
    </font>
    <font>
      <sz val="10"/>
      <color indexed="9"/>
      <name val="Arial"/>
      <family val="2"/>
    </font>
    <font>
      <b/>
      <i/>
      <u/>
      <sz val="10"/>
      <name val="Arial"/>
      <family val="2"/>
    </font>
    <font>
      <i/>
      <u/>
      <sz val="10"/>
      <name val="Arial"/>
      <family val="2"/>
    </font>
    <font>
      <b/>
      <i/>
      <sz val="10"/>
      <name val="Arial"/>
      <family val="2"/>
    </font>
    <font>
      <sz val="10"/>
      <color indexed="8"/>
      <name val="Arial"/>
      <family val="2"/>
    </font>
    <font>
      <b/>
      <sz val="10"/>
      <color indexed="8"/>
      <name val="Arial"/>
      <family val="2"/>
    </font>
    <font>
      <sz val="8"/>
      <color indexed="8"/>
      <name val="Arial"/>
      <family val="2"/>
    </font>
    <font>
      <sz val="10"/>
      <name val="Webdings"/>
      <family val="1"/>
      <charset val="2"/>
    </font>
    <font>
      <sz val="6"/>
      <name val="Webdings"/>
      <family val="1"/>
      <charset val="2"/>
    </font>
    <font>
      <b/>
      <sz val="8"/>
      <color indexed="81"/>
      <name val="Tahoma"/>
      <family val="2"/>
    </font>
    <font>
      <b/>
      <sz val="14"/>
      <color rgb="FF00ACA2"/>
      <name val="Tahoma"/>
      <family val="2"/>
    </font>
    <font>
      <sz val="10"/>
      <name val="Arial"/>
      <family val="2"/>
    </font>
    <font>
      <b/>
      <sz val="10"/>
      <color theme="0"/>
      <name val="Arial"/>
      <family val="2"/>
    </font>
    <font>
      <b/>
      <sz val="9"/>
      <color theme="0"/>
      <name val="Arial"/>
      <family val="2"/>
    </font>
    <font>
      <b/>
      <u/>
      <sz val="9"/>
      <color theme="0"/>
      <name val="Arial"/>
      <family val="2"/>
    </font>
    <font>
      <sz val="9"/>
      <name val="Arial"/>
      <family val="2"/>
    </font>
    <font>
      <sz val="9"/>
      <color theme="0"/>
      <name val="Arial"/>
      <family val="2"/>
    </font>
    <font>
      <sz val="10"/>
      <color theme="0"/>
      <name val="Arial"/>
      <family val="2"/>
    </font>
    <font>
      <b/>
      <sz val="12"/>
      <name val="Arial"/>
      <family val="2"/>
    </font>
    <font>
      <b/>
      <sz val="9"/>
      <name val="Arial"/>
      <family val="2"/>
    </font>
    <font>
      <b/>
      <vertAlign val="subscript"/>
      <sz val="10"/>
      <name val="Arial"/>
      <family val="2"/>
    </font>
    <font>
      <vertAlign val="subscript"/>
      <sz val="10"/>
      <name val="Arial"/>
      <family val="2"/>
    </font>
    <font>
      <b/>
      <sz val="10"/>
      <color theme="3"/>
      <name val="Arial"/>
      <family val="2"/>
    </font>
    <font>
      <vertAlign val="subscript"/>
      <sz val="8"/>
      <name val="Arial"/>
      <family val="2"/>
    </font>
    <font>
      <sz val="9"/>
      <color theme="8" tint="-0.499984740745262"/>
      <name val="Arial"/>
      <family val="2"/>
    </font>
    <font>
      <sz val="12"/>
      <name val="Arial"/>
      <family val="2"/>
    </font>
    <font>
      <sz val="36"/>
      <color rgb="FF00ACA2"/>
      <name val="Wingdings"/>
      <charset val="2"/>
    </font>
    <font>
      <b/>
      <sz val="10"/>
      <color rgb="FF7030A0"/>
      <name val="Arial"/>
      <family val="2"/>
    </font>
    <font>
      <b/>
      <sz val="12"/>
      <color theme="1" tint="0.14999847407452621"/>
      <name val="Arial"/>
      <family val="2"/>
    </font>
    <font>
      <b/>
      <sz val="11"/>
      <color theme="0"/>
      <name val="Arial"/>
      <family val="2"/>
    </font>
    <font>
      <b/>
      <vertAlign val="subscript"/>
      <sz val="10"/>
      <color theme="0"/>
      <name val="Arial"/>
      <family val="2"/>
    </font>
    <font>
      <vertAlign val="subscript"/>
      <sz val="10"/>
      <color theme="0"/>
      <name val="Arial"/>
      <family val="2"/>
    </font>
    <font>
      <sz val="12"/>
      <color indexed="8"/>
      <name val="Arial"/>
      <family val="2"/>
    </font>
    <font>
      <b/>
      <sz val="8"/>
      <color theme="3"/>
      <name val="Arial"/>
      <family val="2"/>
    </font>
    <font>
      <b/>
      <strike/>
      <sz val="10"/>
      <color theme="0"/>
      <name val="Arial"/>
      <family val="2"/>
    </font>
    <font>
      <sz val="11"/>
      <name val="Arial"/>
      <family val="2"/>
    </font>
    <font>
      <b/>
      <sz val="11"/>
      <name val="Arial"/>
      <family val="2"/>
    </font>
    <font>
      <u/>
      <sz val="10"/>
      <color theme="10"/>
      <name val="Arial"/>
      <family val="2"/>
    </font>
    <font>
      <sz val="28"/>
      <color rgb="FF00ACA2"/>
      <name val="Webdings"/>
      <family val="1"/>
      <charset val="2"/>
    </font>
    <font>
      <u/>
      <sz val="7.5"/>
      <color indexed="12"/>
      <name val="Arial"/>
      <family val="2"/>
    </font>
    <font>
      <u/>
      <sz val="10"/>
      <name val="Arial"/>
      <family val="2"/>
    </font>
    <font>
      <sz val="10"/>
      <color rgb="FF000000"/>
      <name val="Arial"/>
      <family val="2"/>
    </font>
    <font>
      <sz val="9"/>
      <color indexed="23"/>
      <name val="Arial"/>
      <family val="2"/>
    </font>
    <font>
      <sz val="7.5"/>
      <color indexed="8"/>
      <name val="Arial"/>
      <family val="2"/>
    </font>
    <font>
      <b/>
      <sz val="11"/>
      <color theme="7" tint="-0.249977111117893"/>
      <name val="Arial"/>
      <family val="2"/>
    </font>
    <font>
      <u/>
      <sz val="11"/>
      <color theme="10"/>
      <name val="Arial"/>
      <family val="2"/>
    </font>
    <font>
      <b/>
      <sz val="10"/>
      <color rgb="FF00ACA2"/>
      <name val="Arial"/>
      <family val="2"/>
    </font>
    <font>
      <vertAlign val="subscript"/>
      <sz val="11"/>
      <name val="Arial"/>
      <family val="2"/>
    </font>
    <font>
      <b/>
      <u/>
      <sz val="11"/>
      <name val="Arial"/>
      <family val="2"/>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0"/>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rgb="FF00B050"/>
        <bgColor indexed="64"/>
      </patternFill>
    </fill>
    <fill>
      <patternFill patternType="solid">
        <fgColor theme="3" tint="-0.249977111117893"/>
        <bgColor indexed="64"/>
      </patternFill>
    </fill>
    <fill>
      <patternFill patternType="solid">
        <fgColor theme="8" tint="0.79998168889431442"/>
        <bgColor indexed="64"/>
      </patternFill>
    </fill>
    <fill>
      <patternFill patternType="solid">
        <fgColor rgb="FF00C6B9"/>
        <bgColor indexed="64"/>
      </patternFill>
    </fill>
    <fill>
      <patternFill patternType="solid">
        <fgColor theme="0" tint="-4.9989318521683403E-2"/>
        <bgColor indexed="64"/>
      </patternFill>
    </fill>
    <fill>
      <patternFill patternType="solid">
        <fgColor theme="8"/>
        <bgColor indexed="64"/>
      </patternFill>
    </fill>
    <fill>
      <patternFill patternType="solid">
        <fgColor rgb="FF00ACA2"/>
        <bgColor indexed="64"/>
      </patternFill>
    </fill>
    <fill>
      <patternFill patternType="solid">
        <fgColor rgb="FFFF0000"/>
        <bgColor indexed="64"/>
      </patternFill>
    </fill>
    <fill>
      <patternFill patternType="solid">
        <fgColor rgb="FF009E75"/>
        <bgColor indexed="64"/>
      </patternFill>
    </fill>
    <fill>
      <patternFill patternType="solid">
        <fgColor rgb="FFB3FFFB"/>
        <bgColor indexed="64"/>
      </patternFill>
    </fill>
    <fill>
      <patternFill patternType="solid">
        <fgColor indexed="9"/>
        <bgColor indexed="64"/>
      </patternFill>
    </fill>
    <fill>
      <patternFill patternType="solid">
        <fgColor theme="7" tint="0.79998168889431442"/>
        <bgColor indexed="64"/>
      </patternFill>
    </fill>
    <fill>
      <patternFill patternType="solid">
        <fgColor theme="6"/>
        <bgColor indexed="64"/>
      </patternFill>
    </fill>
  </fills>
  <borders count="14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19"/>
      </left>
      <right style="medium">
        <color indexed="19"/>
      </right>
      <top style="medium">
        <color indexed="19"/>
      </top>
      <bottom style="medium">
        <color indexed="19"/>
      </bottom>
      <diagonal/>
    </border>
    <border>
      <left style="thin">
        <color indexed="19"/>
      </left>
      <right style="thin">
        <color indexed="19"/>
      </right>
      <top style="thin">
        <color indexed="19"/>
      </top>
      <bottom/>
      <diagonal/>
    </border>
    <border>
      <left style="medium">
        <color indexed="19"/>
      </left>
      <right/>
      <top/>
      <bottom/>
      <diagonal/>
    </border>
    <border>
      <left style="medium">
        <color indexed="19"/>
      </left>
      <right/>
      <top style="medium">
        <color indexed="19"/>
      </top>
      <bottom/>
      <diagonal/>
    </border>
    <border>
      <left style="medium">
        <color indexed="19"/>
      </left>
      <right style="medium">
        <color indexed="19"/>
      </right>
      <top/>
      <bottom style="medium">
        <color indexed="19"/>
      </bottom>
      <diagonal/>
    </border>
    <border>
      <left style="hair">
        <color indexed="19"/>
      </left>
      <right style="hair">
        <color indexed="19"/>
      </right>
      <top style="hair">
        <color indexed="19"/>
      </top>
      <bottom style="hair">
        <color indexed="19"/>
      </bottom>
      <diagonal/>
    </border>
    <border>
      <left style="hair">
        <color indexed="19"/>
      </left>
      <right style="hair">
        <color indexed="19"/>
      </right>
      <top/>
      <bottom style="hair">
        <color indexed="19"/>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theme="1" tint="0.14999847407452621"/>
      </top>
      <bottom/>
      <diagonal/>
    </border>
    <border>
      <left style="medium">
        <color indexed="64"/>
      </left>
      <right/>
      <top style="medium">
        <color theme="1" tint="0.14999847407452621"/>
      </top>
      <bottom style="medium">
        <color indexed="64"/>
      </bottom>
      <diagonal/>
    </border>
    <border>
      <left style="medium">
        <color theme="1" tint="0.14999847407452621"/>
      </left>
      <right/>
      <top/>
      <bottom/>
      <diagonal/>
    </border>
    <border>
      <left style="medium">
        <color theme="1" tint="0.14999847407452621"/>
      </left>
      <right/>
      <top/>
      <bottom style="medium">
        <color theme="1" tint="0.14999847407452621"/>
      </bottom>
      <diagonal/>
    </border>
    <border>
      <left style="medium">
        <color indexed="64"/>
      </left>
      <right style="medium">
        <color theme="1" tint="0.14999847407452621"/>
      </right>
      <top style="medium">
        <color theme="1" tint="0.14999847407452621"/>
      </top>
      <bottom style="medium">
        <color indexed="64"/>
      </bottom>
      <diagonal/>
    </border>
    <border>
      <left/>
      <right style="medium">
        <color indexed="64"/>
      </right>
      <top style="medium">
        <color indexed="64"/>
      </top>
      <bottom style="medium">
        <color indexed="64"/>
      </bottom>
      <diagonal/>
    </border>
    <border>
      <left style="medium">
        <color theme="1" tint="0.14999847407452621"/>
      </left>
      <right/>
      <top style="medium">
        <color theme="1" tint="0.14999847407452621"/>
      </top>
      <bottom/>
      <diagonal/>
    </border>
    <border>
      <left style="medium">
        <color theme="1" tint="0.14999847407452621"/>
      </left>
      <right style="medium">
        <color theme="1" tint="0.14999847407452621"/>
      </right>
      <top/>
      <bottom/>
      <diagonal/>
    </border>
    <border>
      <left/>
      <right style="medium">
        <color theme="1" tint="0.14999847407452621"/>
      </right>
      <top/>
      <bottom/>
      <diagonal/>
    </border>
    <border>
      <left style="medium">
        <color theme="1" tint="0.14999847407452621"/>
      </left>
      <right style="medium">
        <color theme="1" tint="0.14999847407452621"/>
      </right>
      <top/>
      <bottom style="medium">
        <color theme="1" tint="0.14999847407452621"/>
      </bottom>
      <diagonal/>
    </border>
    <border>
      <left/>
      <right style="medium">
        <color theme="1" tint="0.14999847407452621"/>
      </right>
      <top/>
      <bottom style="medium">
        <color theme="1" tint="0.14999847407452621"/>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theme="1" tint="0.14999847407452621"/>
      </left>
      <right style="medium">
        <color indexed="64"/>
      </right>
      <top/>
      <bottom/>
      <diagonal/>
    </border>
    <border>
      <left style="medium">
        <color theme="1" tint="0.14999847407452621"/>
      </left>
      <right style="medium">
        <color indexed="64"/>
      </right>
      <top/>
      <bottom style="medium">
        <color theme="1" tint="0.1499984740745262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medium">
        <color indexed="64"/>
      </top>
      <bottom style="medium">
        <color indexed="64"/>
      </bottom>
      <diagonal/>
    </border>
    <border>
      <left style="hair">
        <color indexed="19"/>
      </left>
      <right/>
      <top style="hair">
        <color indexed="19"/>
      </top>
      <bottom style="hair">
        <color indexed="1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hair">
        <color indexed="19"/>
      </left>
      <right/>
      <top/>
      <bottom style="hair">
        <color indexed="19"/>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
      <left style="medium">
        <color rgb="FF00ACA2"/>
      </left>
      <right/>
      <top style="medium">
        <color rgb="FF00ACA2"/>
      </top>
      <bottom style="medium">
        <color rgb="FF00ACA2"/>
      </bottom>
      <diagonal/>
    </border>
    <border>
      <left/>
      <right style="medium">
        <color rgb="FF00ACA2"/>
      </right>
      <top style="medium">
        <color rgb="FF00ACA2"/>
      </top>
      <bottom style="medium">
        <color rgb="FF00ACA2"/>
      </bottom>
      <diagonal/>
    </border>
    <border>
      <left/>
      <right/>
      <top style="medium">
        <color rgb="FF00ACA2"/>
      </top>
      <bottom style="thin">
        <color indexed="19"/>
      </bottom>
      <diagonal/>
    </border>
    <border>
      <left style="medium">
        <color rgb="FF00ACA2"/>
      </left>
      <right style="hair">
        <color indexed="19"/>
      </right>
      <top style="hair">
        <color indexed="19"/>
      </top>
      <bottom style="hair">
        <color indexed="19"/>
      </bottom>
      <diagonal/>
    </border>
    <border>
      <left style="hair">
        <color indexed="19"/>
      </left>
      <right style="medium">
        <color rgb="FF00ACA2"/>
      </right>
      <top style="hair">
        <color indexed="19"/>
      </top>
      <bottom style="hair">
        <color indexed="19"/>
      </bottom>
      <diagonal/>
    </border>
    <border>
      <left style="medium">
        <color rgb="FF00ACA2"/>
      </left>
      <right style="hair">
        <color indexed="19"/>
      </right>
      <top style="hair">
        <color indexed="19"/>
      </top>
      <bottom style="medium">
        <color rgb="FF00ACA2"/>
      </bottom>
      <diagonal/>
    </border>
    <border>
      <left style="hair">
        <color indexed="19"/>
      </left>
      <right style="hair">
        <color indexed="19"/>
      </right>
      <top style="hair">
        <color indexed="19"/>
      </top>
      <bottom style="medium">
        <color rgb="FF00ACA2"/>
      </bottom>
      <diagonal/>
    </border>
    <border>
      <left style="hair">
        <color indexed="19"/>
      </left>
      <right/>
      <top style="hair">
        <color indexed="19"/>
      </top>
      <bottom style="medium">
        <color rgb="FF00ACA2"/>
      </bottom>
      <diagonal/>
    </border>
    <border>
      <left style="hair">
        <color indexed="19"/>
      </left>
      <right style="medium">
        <color rgb="FF00ACA2"/>
      </right>
      <top style="hair">
        <color indexed="19"/>
      </top>
      <bottom style="medium">
        <color rgb="FF00ACA2"/>
      </bottom>
      <diagonal/>
    </border>
    <border>
      <left style="thin">
        <color theme="1" tint="0.34998626667073579"/>
      </left>
      <right/>
      <top style="thin">
        <color theme="1" tint="0.34998626667073579"/>
      </top>
      <bottom style="thin">
        <color theme="1" tint="0.34998626667073579"/>
      </bottom>
      <diagonal/>
    </border>
    <border>
      <left style="thin">
        <color indexed="64"/>
      </left>
      <right/>
      <top/>
      <bottom/>
      <diagonal/>
    </border>
    <border>
      <left/>
      <right style="thin">
        <color indexed="19"/>
      </right>
      <top style="thin">
        <color indexed="19"/>
      </top>
      <bottom/>
      <diagonal/>
    </border>
    <border>
      <left style="thin">
        <color indexed="19"/>
      </left>
      <right style="thin">
        <color indexed="19"/>
      </right>
      <top style="medium">
        <color indexed="19"/>
      </top>
      <bottom/>
      <diagonal/>
    </border>
    <border>
      <left style="thin">
        <color indexed="19"/>
      </left>
      <right style="medium">
        <color indexed="19"/>
      </right>
      <top style="medium">
        <color indexed="19"/>
      </top>
      <bottom/>
      <diagonal/>
    </border>
    <border>
      <left/>
      <right/>
      <top style="medium">
        <color rgb="FF00ACA2"/>
      </top>
      <bottom/>
      <diagonal/>
    </border>
    <border>
      <left style="hair">
        <color indexed="19"/>
      </left>
      <right style="medium">
        <color rgb="FF00ACA2"/>
      </right>
      <top/>
      <bottom style="hair">
        <color indexed="19"/>
      </bottom>
      <diagonal/>
    </border>
    <border>
      <left style="medium">
        <color rgb="FF00ACA2"/>
      </left>
      <right style="hair">
        <color indexed="19"/>
      </right>
      <top/>
      <bottom style="hair">
        <color indexed="19"/>
      </bottom>
      <diagonal/>
    </border>
    <border>
      <left/>
      <right/>
      <top style="thin">
        <color indexed="19"/>
      </top>
      <bottom style="medium">
        <color theme="0"/>
      </bottom>
      <diagonal/>
    </border>
    <border>
      <left style="medium">
        <color rgb="FF00ACA2"/>
      </left>
      <right style="medium">
        <color theme="0"/>
      </right>
      <top style="medium">
        <color rgb="FF00ACA2"/>
      </top>
      <bottom style="thin">
        <color indexed="19"/>
      </bottom>
      <diagonal/>
    </border>
    <border>
      <left style="medium">
        <color theme="0"/>
      </left>
      <right style="thin">
        <color indexed="19"/>
      </right>
      <top style="medium">
        <color rgb="FF00ACA2"/>
      </top>
      <bottom style="medium">
        <color theme="0"/>
      </bottom>
      <diagonal/>
    </border>
    <border>
      <left style="thin">
        <color indexed="19"/>
      </left>
      <right style="medium">
        <color theme="0"/>
      </right>
      <top style="medium">
        <color rgb="FF00ACA2"/>
      </top>
      <bottom style="medium">
        <color theme="0"/>
      </bottom>
      <diagonal/>
    </border>
    <border>
      <left style="medium">
        <color theme="0"/>
      </left>
      <right style="medium">
        <color rgb="FF00ACA2"/>
      </right>
      <top style="medium">
        <color rgb="FF00ACA2"/>
      </top>
      <bottom style="thin">
        <color indexed="19"/>
      </bottom>
      <diagonal/>
    </border>
    <border>
      <left style="medium">
        <color rgb="FF00ACA2"/>
      </left>
      <right style="medium">
        <color theme="0"/>
      </right>
      <top style="thin">
        <color indexed="19"/>
      </top>
      <bottom style="medium">
        <color theme="0"/>
      </bottom>
      <diagonal/>
    </border>
    <border>
      <left style="medium">
        <color theme="0"/>
      </left>
      <right style="medium">
        <color rgb="FF00ACA2"/>
      </right>
      <top style="thin">
        <color indexed="19"/>
      </top>
      <bottom style="medium">
        <color theme="0"/>
      </bottom>
      <diagonal/>
    </border>
    <border>
      <left style="medium">
        <color theme="0"/>
      </left>
      <right style="thin">
        <color theme="0"/>
      </right>
      <top/>
      <bottom style="medium">
        <color theme="0"/>
      </bottom>
      <diagonal/>
    </border>
    <border>
      <left style="thin">
        <color theme="0"/>
      </left>
      <right style="medium">
        <color theme="0"/>
      </right>
      <top/>
      <bottom style="medium">
        <color theme="0"/>
      </bottom>
      <diagonal/>
    </border>
    <border>
      <left style="medium">
        <color theme="0"/>
      </left>
      <right style="thin">
        <color theme="0"/>
      </right>
      <top style="medium">
        <color theme="0"/>
      </top>
      <bottom style="medium">
        <color theme="0"/>
      </bottom>
      <diagonal/>
    </border>
    <border>
      <left style="thin">
        <color theme="0"/>
      </left>
      <right style="thin">
        <color theme="0"/>
      </right>
      <top style="medium">
        <color theme="0"/>
      </top>
      <bottom style="medium">
        <color theme="0"/>
      </bottom>
      <diagonal/>
    </border>
    <border>
      <left style="thin">
        <color theme="0"/>
      </left>
      <right style="medium">
        <color theme="0"/>
      </right>
      <top style="medium">
        <color theme="0"/>
      </top>
      <bottom style="medium">
        <color theme="0"/>
      </bottom>
      <diagonal/>
    </border>
    <border>
      <left/>
      <right/>
      <top/>
      <bottom style="medium">
        <color rgb="FF00ACA2"/>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theme="1" tint="0.34998626667073579"/>
      </left>
      <right style="thin">
        <color theme="1" tint="0.34998626667073579"/>
      </right>
      <top/>
      <bottom style="thin">
        <color theme="1" tint="0.34998626667073579"/>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rgb="FF00ACA2"/>
      </left>
      <right style="medium">
        <color rgb="FF00ACA2"/>
      </right>
      <top style="medium">
        <color rgb="FF00ACA2"/>
      </top>
      <bottom/>
      <diagonal/>
    </border>
    <border>
      <left style="medium">
        <color rgb="FF00ACA2"/>
      </left>
      <right style="medium">
        <color rgb="FF00ACA2"/>
      </right>
      <top/>
      <bottom/>
      <diagonal/>
    </border>
    <border>
      <left style="medium">
        <color rgb="FF00ACA2"/>
      </left>
      <right style="medium">
        <color rgb="FF00ACA2"/>
      </right>
      <top/>
      <bottom style="medium">
        <color rgb="FF00ACA2"/>
      </bottom>
      <diagonal/>
    </border>
    <border>
      <left style="medium">
        <color rgb="FF00ACA2"/>
      </left>
      <right style="medium">
        <color rgb="FF00ACA2"/>
      </right>
      <top style="medium">
        <color rgb="FF00ACA2"/>
      </top>
      <bottom style="hair">
        <color indexed="19"/>
      </bottom>
      <diagonal/>
    </border>
    <border>
      <left style="medium">
        <color rgb="FF00ACA2"/>
      </left>
      <right style="medium">
        <color rgb="FF00ACA2"/>
      </right>
      <top style="hair">
        <color indexed="19"/>
      </top>
      <bottom style="hair">
        <color indexed="19"/>
      </bottom>
      <diagonal/>
    </border>
    <border>
      <left style="medium">
        <color rgb="FF00ACA2"/>
      </left>
      <right style="medium">
        <color rgb="FF00ACA2"/>
      </right>
      <top style="hair">
        <color indexed="19"/>
      </top>
      <bottom style="medium">
        <color rgb="FF00ACA2"/>
      </bottom>
      <diagonal/>
    </border>
    <border>
      <left style="medium">
        <color rgb="FF00ACA2"/>
      </left>
      <right style="thin">
        <color theme="0"/>
      </right>
      <top style="medium">
        <color rgb="FF00ACA2"/>
      </top>
      <bottom style="medium">
        <color rgb="FF00ACA2"/>
      </bottom>
      <diagonal/>
    </border>
    <border>
      <left style="thin">
        <color theme="0"/>
      </left>
      <right style="thin">
        <color theme="0"/>
      </right>
      <top style="medium">
        <color rgb="FF00ACA2"/>
      </top>
      <bottom style="medium">
        <color rgb="FF00ACA2"/>
      </bottom>
      <diagonal/>
    </border>
    <border>
      <left style="medium">
        <color theme="0"/>
      </left>
      <right/>
      <top style="medium">
        <color rgb="FF00ACA2"/>
      </top>
      <bottom style="thin">
        <color indexed="19"/>
      </bottom>
      <diagonal/>
    </border>
    <border>
      <left style="medium">
        <color theme="0"/>
      </left>
      <right/>
      <top style="thin">
        <color indexed="19"/>
      </top>
      <bottom style="medium">
        <color theme="0"/>
      </bottom>
      <diagonal/>
    </border>
    <border>
      <left style="medium">
        <color rgb="FF00ACA2"/>
      </left>
      <right style="hair">
        <color indexed="19"/>
      </right>
      <top style="medium">
        <color rgb="FF00ACA2"/>
      </top>
      <bottom style="hair">
        <color indexed="19"/>
      </bottom>
      <diagonal/>
    </border>
    <border>
      <left style="hair">
        <color indexed="19"/>
      </left>
      <right style="hair">
        <color indexed="19"/>
      </right>
      <top style="medium">
        <color rgb="FF00ACA2"/>
      </top>
      <bottom style="hair">
        <color indexed="19"/>
      </bottom>
      <diagonal/>
    </border>
    <border>
      <left style="hair">
        <color indexed="19"/>
      </left>
      <right style="medium">
        <color rgb="FF00ACA2"/>
      </right>
      <top style="medium">
        <color rgb="FF00ACA2"/>
      </top>
      <bottom style="hair">
        <color indexed="19"/>
      </bottom>
      <diagonal/>
    </border>
    <border>
      <left style="medium">
        <color rgb="FF00ACA2"/>
      </left>
      <right/>
      <top style="medium">
        <color rgb="FF00ACA2"/>
      </top>
      <bottom/>
      <diagonal/>
    </border>
    <border>
      <left style="medium">
        <color rgb="FF00ACA2"/>
      </left>
      <right/>
      <top/>
      <bottom style="medium">
        <color rgb="FF00ACA2"/>
      </bottom>
      <diagonal/>
    </border>
    <border>
      <left/>
      <right style="medium">
        <color rgb="FF00ACA2"/>
      </right>
      <top style="medium">
        <color rgb="FF00ACA2"/>
      </top>
      <bottom/>
      <diagonal/>
    </border>
    <border>
      <left/>
      <right style="medium">
        <color rgb="FF00ACA2"/>
      </right>
      <top/>
      <bottom style="medium">
        <color rgb="FF00ACA2"/>
      </bottom>
      <diagonal/>
    </border>
    <border>
      <left style="medium">
        <color theme="0"/>
      </left>
      <right style="medium">
        <color rgb="FF00ACA2"/>
      </right>
      <top style="medium">
        <color rgb="FF00ACA2"/>
      </top>
      <bottom/>
      <diagonal/>
    </border>
    <border>
      <left style="medium">
        <color theme="0"/>
      </left>
      <right style="medium">
        <color rgb="FF00ACA2"/>
      </right>
      <top/>
      <bottom style="medium">
        <color rgb="FF00ACA2"/>
      </bottom>
      <diagonal/>
    </border>
    <border>
      <left style="medium">
        <color theme="0"/>
      </left>
      <right style="medium">
        <color theme="0"/>
      </right>
      <top style="medium">
        <color rgb="FF00ACA2"/>
      </top>
      <bottom/>
      <diagonal/>
    </border>
    <border>
      <left style="medium">
        <color theme="0"/>
      </left>
      <right style="medium">
        <color theme="0"/>
      </right>
      <top/>
      <bottom style="medium">
        <color rgb="FF00ACA2"/>
      </bottom>
      <diagonal/>
    </border>
    <border>
      <left style="medium">
        <color theme="0"/>
      </left>
      <right/>
      <top/>
      <bottom style="medium">
        <color rgb="FF00ACA2"/>
      </bottom>
      <diagonal/>
    </border>
    <border>
      <left style="medium">
        <color theme="0"/>
      </left>
      <right/>
      <top style="medium">
        <color rgb="FF00ACA2"/>
      </top>
      <bottom style="medium">
        <color theme="0"/>
      </bottom>
      <diagonal/>
    </border>
    <border>
      <left/>
      <right style="medium">
        <color theme="0"/>
      </right>
      <top style="medium">
        <color rgb="FF00ACA2"/>
      </top>
      <bottom style="medium">
        <color theme="0"/>
      </bottom>
      <diagonal/>
    </border>
    <border>
      <left style="medium">
        <color rgb="FF00ACA2"/>
      </left>
      <right style="medium">
        <color theme="0"/>
      </right>
      <top style="medium">
        <color rgb="FF00ACA2"/>
      </top>
      <bottom/>
      <diagonal/>
    </border>
    <border>
      <left style="medium">
        <color rgb="FF00ACA2"/>
      </left>
      <right style="medium">
        <color theme="0"/>
      </right>
      <top/>
      <bottom style="medium">
        <color rgb="FF00ACA2"/>
      </bottom>
      <diagonal/>
    </border>
    <border>
      <left/>
      <right/>
      <top style="medium">
        <color rgb="FF00ACA2"/>
      </top>
      <bottom style="medium">
        <color theme="0"/>
      </bottom>
      <diagonal/>
    </border>
    <border>
      <left style="medium">
        <color theme="0"/>
      </left>
      <right style="medium">
        <color theme="0"/>
      </right>
      <top style="medium">
        <color theme="0"/>
      </top>
      <bottom style="medium">
        <color rgb="FF00ACA2"/>
      </bottom>
      <diagonal/>
    </border>
    <border>
      <left style="medium">
        <color rgb="FF00ACA2"/>
      </left>
      <right style="hair">
        <color indexed="19"/>
      </right>
      <top style="medium">
        <color rgb="FF00ACA2"/>
      </top>
      <bottom style="medium">
        <color rgb="FF00ACA2"/>
      </bottom>
      <diagonal/>
    </border>
    <border>
      <left style="hair">
        <color indexed="19"/>
      </left>
      <right style="hair">
        <color indexed="19"/>
      </right>
      <top style="medium">
        <color rgb="FF00ACA2"/>
      </top>
      <bottom style="medium">
        <color rgb="FF00ACA2"/>
      </bottom>
      <diagonal/>
    </border>
    <border>
      <left style="hair">
        <color indexed="19"/>
      </left>
      <right style="medium">
        <color rgb="FF00ACA2"/>
      </right>
      <top style="medium">
        <color rgb="FF00ACA2"/>
      </top>
      <bottom style="medium">
        <color rgb="FF00ACA2"/>
      </bottom>
      <diagonal/>
    </border>
    <border>
      <left style="thin">
        <color theme="1" tint="0.34998626667073579"/>
      </left>
      <right/>
      <top style="medium">
        <color rgb="FF00ACA2"/>
      </top>
      <bottom style="thin">
        <color theme="1" tint="0.34998626667073579"/>
      </bottom>
      <diagonal/>
    </border>
    <border>
      <left/>
      <right/>
      <top style="medium">
        <color rgb="FF00ACA2"/>
      </top>
      <bottom style="thin">
        <color theme="1" tint="0.34998626667073579"/>
      </bottom>
      <diagonal/>
    </border>
    <border>
      <left/>
      <right style="thin">
        <color theme="1" tint="0.34998626667073579"/>
      </right>
      <top style="medium">
        <color rgb="FF00ACA2"/>
      </top>
      <bottom style="thin">
        <color theme="1" tint="0.34998626667073579"/>
      </bottom>
      <diagonal/>
    </border>
    <border>
      <left style="thin">
        <color theme="1" tint="0.34998626667073579"/>
      </left>
      <right style="thin">
        <color theme="1" tint="0.34998626667073579"/>
      </right>
      <top style="medium">
        <color rgb="FF00ACA2"/>
      </top>
      <bottom style="thin">
        <color theme="1" tint="0.34998626667073579"/>
      </bottom>
      <diagonal/>
    </border>
    <border>
      <left style="thin">
        <color theme="1" tint="0.34998626667073579"/>
      </left>
      <right style="thin">
        <color theme="1" tint="0.34998626667073579"/>
      </right>
      <top style="medium">
        <color rgb="FF00ACA2"/>
      </top>
      <bottom/>
      <diagonal/>
    </border>
    <border>
      <left style="thin">
        <color theme="1" tint="0.34998626667073579"/>
      </left>
      <right/>
      <top style="medium">
        <color rgb="FF00ACA2"/>
      </top>
      <bottom/>
      <diagonal/>
    </border>
    <border>
      <left style="medium">
        <color rgb="FF00ACA2"/>
      </left>
      <right/>
      <top/>
      <bottom style="thin">
        <color theme="1" tint="0.34998626667073579"/>
      </bottom>
      <diagonal/>
    </border>
    <border>
      <left/>
      <right style="medium">
        <color rgb="FF00ACA2"/>
      </right>
      <top/>
      <bottom style="thin">
        <color theme="1" tint="0.34998626667073579"/>
      </bottom>
      <diagonal/>
    </border>
    <border>
      <left style="medium">
        <color rgb="FF00ACA2"/>
      </left>
      <right style="thin">
        <color theme="1" tint="0.34998626667073579"/>
      </right>
      <top style="thin">
        <color theme="1" tint="0.34998626667073579"/>
      </top>
      <bottom style="thin">
        <color theme="1" tint="0.34998626667073579"/>
      </bottom>
      <diagonal/>
    </border>
    <border>
      <left style="thin">
        <color theme="1" tint="0.34998626667073579"/>
      </left>
      <right style="medium">
        <color rgb="FF00ACA2"/>
      </right>
      <top style="thin">
        <color theme="1" tint="0.34998626667073579"/>
      </top>
      <bottom/>
      <diagonal/>
    </border>
    <border>
      <left style="thin">
        <color indexed="64"/>
      </left>
      <right style="medium">
        <color rgb="FF00ACA2"/>
      </right>
      <top style="thin">
        <color indexed="64"/>
      </top>
      <bottom style="thin">
        <color indexed="64"/>
      </bottom>
      <diagonal/>
    </border>
    <border>
      <left style="medium">
        <color rgb="FF00ACA2"/>
      </left>
      <right style="hair">
        <color indexed="19"/>
      </right>
      <top/>
      <bottom style="medium">
        <color rgb="FF00ACA2"/>
      </bottom>
      <diagonal/>
    </border>
    <border>
      <left style="thin">
        <color theme="1" tint="0.34998626667073579"/>
      </left>
      <right style="thin">
        <color theme="1" tint="0.34998626667073579"/>
      </right>
      <top style="thin">
        <color theme="1" tint="0.34998626667073579"/>
      </top>
      <bottom style="medium">
        <color rgb="FF00ACA2"/>
      </bottom>
      <diagonal/>
    </border>
    <border>
      <left style="hair">
        <color indexed="19"/>
      </left>
      <right style="hair">
        <color indexed="19"/>
      </right>
      <top/>
      <bottom style="medium">
        <color rgb="FF00ACA2"/>
      </bottom>
      <diagonal/>
    </border>
    <border>
      <left style="thin">
        <color indexed="64"/>
      </left>
      <right style="thin">
        <color indexed="64"/>
      </right>
      <top style="thin">
        <color indexed="64"/>
      </top>
      <bottom style="medium">
        <color rgb="FF00ACA2"/>
      </bottom>
      <diagonal/>
    </border>
    <border>
      <left style="thin">
        <color indexed="64"/>
      </left>
      <right style="medium">
        <color rgb="FF00ACA2"/>
      </right>
      <top style="thin">
        <color indexed="64"/>
      </top>
      <bottom style="medium">
        <color rgb="FF00ACA2"/>
      </bottom>
      <diagonal/>
    </border>
  </borders>
  <cellStyleXfs count="5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0" fontId="7" fillId="0" borderId="0" applyNumberFormat="0" applyFill="0" applyBorder="0" applyAlignment="0" applyProtection="0"/>
    <xf numFmtId="0" fontId="8" fillId="4" borderId="0" applyNumberFormat="0" applyBorder="0" applyAlignment="0" applyProtection="0"/>
    <xf numFmtId="0" fontId="9" fillId="0" borderId="3" applyNumberFormat="0" applyFill="0" applyAlignment="0" applyProtection="0"/>
    <xf numFmtId="0" fontId="10" fillId="0" borderId="4" applyNumberFormat="0" applyFill="0" applyAlignment="0" applyProtection="0"/>
    <xf numFmtId="0" fontId="11" fillId="0" borderId="5" applyNumberFormat="0" applyFill="0" applyAlignment="0" applyProtection="0"/>
    <xf numFmtId="0" fontId="11" fillId="0" borderId="0" applyNumberFormat="0" applyFill="0" applyBorder="0" applyAlignment="0" applyProtection="0"/>
    <xf numFmtId="0" fontId="12" fillId="7" borderId="1" applyNumberFormat="0" applyAlignment="0" applyProtection="0"/>
    <xf numFmtId="0" fontId="13" fillId="0" borderId="6" applyNumberFormat="0" applyFill="0" applyAlignment="0" applyProtection="0"/>
    <xf numFmtId="0" fontId="14" fillId="22" borderId="0" applyNumberFormat="0" applyBorder="0" applyAlignment="0" applyProtection="0"/>
    <xf numFmtId="0" fontId="27" fillId="0" borderId="0"/>
    <xf numFmtId="0" fontId="15"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xf numFmtId="0" fontId="15" fillId="0" borderId="0"/>
    <xf numFmtId="44" fontId="15" fillId="0" borderId="0" applyFont="0" applyFill="0" applyBorder="0" applyAlignment="0" applyProtection="0"/>
    <xf numFmtId="43" fontId="34" fillId="0" borderId="0" applyFont="0" applyFill="0" applyBorder="0" applyAlignment="0" applyProtection="0"/>
    <xf numFmtId="43" fontId="15" fillId="0" borderId="0" applyFont="0" applyFill="0" applyBorder="0" applyAlignment="0" applyProtection="0"/>
    <xf numFmtId="0" fontId="60" fillId="0" borderId="0" applyNumberFormat="0" applyFill="0" applyBorder="0" applyAlignment="0" applyProtection="0"/>
    <xf numFmtId="0" fontId="62" fillId="0" borderId="0" applyNumberFormat="0" applyFill="0" applyBorder="0" applyAlignment="0" applyProtection="0">
      <alignment vertical="top"/>
      <protection locked="0"/>
    </xf>
    <xf numFmtId="0" fontId="60" fillId="0" borderId="0" applyNumberFormat="0" applyFill="0" applyBorder="0" applyAlignment="0" applyProtection="0"/>
  </cellStyleXfs>
  <cellXfs count="382">
    <xf numFmtId="0" fontId="0" fillId="0" borderId="0" xfId="0"/>
    <xf numFmtId="0" fontId="21" fillId="0" borderId="0" xfId="0" applyFont="1"/>
    <xf numFmtId="0" fontId="22" fillId="24" borderId="0" xfId="0" applyFont="1" applyFill="1"/>
    <xf numFmtId="0" fontId="23" fillId="24" borderId="0" xfId="0" applyFont="1" applyFill="1"/>
    <xf numFmtId="0" fontId="15" fillId="0" borderId="0" xfId="0" applyFont="1"/>
    <xf numFmtId="0" fontId="24" fillId="0" borderId="0" xfId="0" applyFont="1"/>
    <xf numFmtId="0" fontId="25" fillId="0" borderId="0" xfId="0" applyFont="1"/>
    <xf numFmtId="0" fontId="26" fillId="0" borderId="0" xfId="0" applyFont="1"/>
    <xf numFmtId="0" fontId="28" fillId="0" borderId="0" xfId="0" applyFont="1"/>
    <xf numFmtId="0" fontId="27" fillId="0" borderId="0" xfId="37" applyAlignment="1">
      <alignment horizontal="left" vertical="top"/>
    </xf>
    <xf numFmtId="0" fontId="27" fillId="0" borderId="0" xfId="37" applyAlignment="1">
      <alignment horizontal="center" vertical="center"/>
    </xf>
    <xf numFmtId="0" fontId="21" fillId="25" borderId="10" xfId="0" applyFont="1" applyFill="1" applyBorder="1" applyAlignment="1">
      <alignment horizontal="center" vertical="center"/>
    </xf>
    <xf numFmtId="0" fontId="0" fillId="0" borderId="0" xfId="0" applyAlignment="1">
      <alignment horizontal="center" vertical="center"/>
    </xf>
    <xf numFmtId="0" fontId="27" fillId="0" borderId="0" xfId="37" applyAlignment="1">
      <alignment horizontal="left" vertical="center"/>
    </xf>
    <xf numFmtId="0" fontId="22" fillId="0" borderId="0" xfId="0" applyFont="1"/>
    <xf numFmtId="0" fontId="21" fillId="25" borderId="13" xfId="0" applyFont="1" applyFill="1" applyBorder="1" applyAlignment="1">
      <alignment horizontal="center" vertical="center"/>
    </xf>
    <xf numFmtId="0" fontId="21" fillId="25" borderId="14" xfId="0" applyFont="1" applyFill="1" applyBorder="1" applyAlignment="1">
      <alignment vertical="top"/>
    </xf>
    <xf numFmtId="0" fontId="0" fillId="0" borderId="0" xfId="0" applyAlignment="1">
      <alignment vertical="top" wrapText="1"/>
    </xf>
    <xf numFmtId="0" fontId="15" fillId="0" borderId="0" xfId="0" applyFont="1" applyAlignment="1">
      <alignment vertical="top"/>
    </xf>
    <xf numFmtId="0" fontId="0" fillId="0" borderId="0" xfId="0" applyAlignment="1">
      <alignment vertical="top"/>
    </xf>
    <xf numFmtId="0" fontId="29" fillId="0" borderId="15" xfId="37" applyFont="1" applyBorder="1" applyAlignment="1" applyProtection="1">
      <alignment horizontal="left" vertical="center"/>
      <protection locked="0"/>
    </xf>
    <xf numFmtId="164" fontId="0" fillId="0" borderId="0" xfId="0" applyNumberFormat="1"/>
    <xf numFmtId="0" fontId="27" fillId="26" borderId="17" xfId="37" applyFill="1" applyBorder="1" applyAlignment="1">
      <alignment horizontal="center" vertical="center" wrapText="1"/>
    </xf>
    <xf numFmtId="166" fontId="20" fillId="0" borderId="15" xfId="0" applyNumberFormat="1" applyFont="1" applyBorder="1" applyProtection="1">
      <protection hidden="1"/>
    </xf>
    <xf numFmtId="165" fontId="29" fillId="0" borderId="0" xfId="37" applyNumberFormat="1" applyFont="1" applyAlignment="1" applyProtection="1">
      <alignment horizontal="left" vertical="center"/>
      <protection hidden="1"/>
    </xf>
    <xf numFmtId="0" fontId="27" fillId="0" borderId="17" xfId="37" applyBorder="1" applyAlignment="1" applyProtection="1">
      <alignment horizontal="left" vertical="top"/>
      <protection hidden="1"/>
    </xf>
    <xf numFmtId="0" fontId="0" fillId="0" borderId="0" xfId="0" applyAlignment="1">
      <alignment vertical="center"/>
    </xf>
    <xf numFmtId="0" fontId="27" fillId="0" borderId="17" xfId="37" applyBorder="1" applyAlignment="1">
      <alignment horizontal="left" vertical="top"/>
    </xf>
    <xf numFmtId="0" fontId="30" fillId="0" borderId="0" xfId="0" applyFont="1" applyAlignment="1">
      <alignment vertical="top"/>
    </xf>
    <xf numFmtId="0" fontId="29" fillId="0" borderId="15" xfId="37" applyFont="1" applyBorder="1" applyAlignment="1" applyProtection="1">
      <alignment horizontal="right" vertical="center"/>
      <protection locked="0"/>
    </xf>
    <xf numFmtId="0" fontId="15" fillId="0" borderId="0" xfId="0" applyFont="1" applyAlignment="1">
      <alignment vertical="top" wrapText="1"/>
    </xf>
    <xf numFmtId="165" fontId="29" fillId="0" borderId="17" xfId="37" applyNumberFormat="1" applyFont="1" applyBorder="1" applyAlignment="1" applyProtection="1">
      <alignment horizontal="left" vertical="center"/>
      <protection hidden="1"/>
    </xf>
    <xf numFmtId="0" fontId="0" fillId="0" borderId="0" xfId="0" applyAlignment="1">
      <alignment horizontal="left" vertical="top"/>
    </xf>
    <xf numFmtId="0" fontId="0" fillId="0" borderId="0" xfId="0" applyAlignment="1">
      <alignment horizontal="left" vertical="top" wrapText="1"/>
    </xf>
    <xf numFmtId="167" fontId="20" fillId="0" borderId="15" xfId="0" applyNumberFormat="1" applyFont="1" applyBorder="1" applyAlignment="1">
      <alignment vertical="center"/>
    </xf>
    <xf numFmtId="0" fontId="1" fillId="0" borderId="15" xfId="0" applyFont="1" applyBorder="1" applyAlignment="1">
      <alignment vertical="center"/>
    </xf>
    <xf numFmtId="0" fontId="33" fillId="0" borderId="0" xfId="0" applyFont="1" applyAlignment="1">
      <alignment horizontal="left" vertical="top"/>
    </xf>
    <xf numFmtId="0" fontId="33" fillId="0" borderId="0" xfId="0" applyFont="1" applyAlignment="1">
      <alignment vertical="top"/>
    </xf>
    <xf numFmtId="0" fontId="33" fillId="0" borderId="0" xfId="0" applyFont="1" applyAlignment="1">
      <alignment horizontal="left" vertical="center"/>
    </xf>
    <xf numFmtId="0" fontId="0" fillId="27" borderId="17" xfId="0" applyFill="1" applyBorder="1"/>
    <xf numFmtId="0" fontId="15" fillId="27" borderId="17" xfId="0" applyFont="1" applyFill="1" applyBorder="1"/>
    <xf numFmtId="0" fontId="35" fillId="28" borderId="17" xfId="0" applyFont="1" applyFill="1" applyBorder="1"/>
    <xf numFmtId="0" fontId="0" fillId="0" borderId="17" xfId="0" applyBorder="1"/>
    <xf numFmtId="0" fontId="15" fillId="0" borderId="17" xfId="0" applyFont="1" applyBorder="1"/>
    <xf numFmtId="0" fontId="23" fillId="24" borderId="0" xfId="0" applyFont="1" applyFill="1" applyAlignment="1">
      <alignment horizontal="right"/>
    </xf>
    <xf numFmtId="0" fontId="0" fillId="0" borderId="0" xfId="0" applyAlignment="1">
      <alignment horizontal="right"/>
    </xf>
    <xf numFmtId="0" fontId="22" fillId="24" borderId="0" xfId="0" applyFont="1" applyFill="1" applyAlignment="1">
      <alignment horizontal="right"/>
    </xf>
    <xf numFmtId="0" fontId="27" fillId="26" borderId="19" xfId="37" applyFill="1" applyBorder="1" applyAlignment="1">
      <alignment horizontal="center" vertical="center" wrapText="1"/>
    </xf>
    <xf numFmtId="0" fontId="15" fillId="0" borderId="0" xfId="43"/>
    <xf numFmtId="0" fontId="35" fillId="28" borderId="17" xfId="0" applyFont="1" applyFill="1" applyBorder="1" applyAlignment="1">
      <alignment horizontal="left" vertical="center" wrapText="1"/>
    </xf>
    <xf numFmtId="0" fontId="24" fillId="0" borderId="0" xfId="0" applyFont="1" applyAlignment="1">
      <alignment horizontal="left" vertical="center" wrapText="1"/>
    </xf>
    <xf numFmtId="11" fontId="0" fillId="0" borderId="0" xfId="0" applyNumberFormat="1"/>
    <xf numFmtId="0" fontId="35" fillId="0" borderId="0" xfId="0" applyFont="1"/>
    <xf numFmtId="166" fontId="0" fillId="0" borderId="0" xfId="0" applyNumberFormat="1"/>
    <xf numFmtId="2" fontId="15" fillId="27" borderId="17" xfId="0" applyNumberFormat="1" applyFont="1" applyFill="1" applyBorder="1"/>
    <xf numFmtId="0" fontId="35" fillId="29" borderId="17" xfId="0" applyFont="1" applyFill="1" applyBorder="1"/>
    <xf numFmtId="0" fontId="45" fillId="0" borderId="0" xfId="0" applyFont="1"/>
    <xf numFmtId="0" fontId="1" fillId="0" borderId="15" xfId="0" applyFont="1" applyBorder="1" applyAlignment="1">
      <alignment horizontal="left" vertical="center"/>
    </xf>
    <xf numFmtId="0" fontId="27" fillId="0" borderId="0" xfId="37" applyAlignment="1">
      <alignment horizontal="left" vertical="center" wrapText="1"/>
    </xf>
    <xf numFmtId="0" fontId="27" fillId="0" borderId="0" xfId="37" applyAlignment="1">
      <alignment horizontal="center" vertical="center" wrapText="1"/>
    </xf>
    <xf numFmtId="4" fontId="27" fillId="0" borderId="0" xfId="37" applyNumberFormat="1" applyAlignment="1">
      <alignment horizontal="center" vertical="center"/>
    </xf>
    <xf numFmtId="4" fontId="0" fillId="0" borderId="0" xfId="0" applyNumberFormat="1" applyAlignment="1">
      <alignment horizontal="center"/>
    </xf>
    <xf numFmtId="0" fontId="29" fillId="0" borderId="49" xfId="37" applyFont="1" applyBorder="1" applyAlignment="1" applyProtection="1">
      <alignment horizontal="left" vertical="center"/>
      <protection locked="0"/>
    </xf>
    <xf numFmtId="0" fontId="0" fillId="0" borderId="0" xfId="0" applyAlignment="1">
      <alignment wrapText="1"/>
    </xf>
    <xf numFmtId="0" fontId="48" fillId="0" borderId="0" xfId="0" applyFont="1" applyAlignment="1">
      <alignment horizontal="left" vertical="center" wrapText="1"/>
    </xf>
    <xf numFmtId="0" fontId="49" fillId="0" borderId="0" xfId="0" applyFont="1"/>
    <xf numFmtId="0" fontId="0" fillId="0" borderId="0" xfId="0" applyAlignment="1">
      <alignment horizontal="left"/>
    </xf>
    <xf numFmtId="0" fontId="50" fillId="0" borderId="0" xfId="0" applyFont="1" applyAlignment="1">
      <alignment wrapText="1"/>
    </xf>
    <xf numFmtId="0" fontId="15" fillId="0" borderId="0" xfId="0" applyFont="1" applyAlignment="1">
      <alignment horizontal="center" wrapText="1"/>
    </xf>
    <xf numFmtId="0" fontId="48" fillId="0" borderId="0" xfId="0" applyFont="1" applyAlignment="1">
      <alignment vertical="center" wrapText="1"/>
    </xf>
    <xf numFmtId="0" fontId="35" fillId="34" borderId="50" xfId="37" applyFont="1" applyFill="1" applyBorder="1" applyAlignment="1">
      <alignment horizontal="center" vertical="center" wrapText="1"/>
    </xf>
    <xf numFmtId="0" fontId="29" fillId="0" borderId="50" xfId="37" applyFont="1" applyBorder="1" applyAlignment="1" applyProtection="1">
      <alignment horizontal="left" vertical="center"/>
      <protection locked="0"/>
    </xf>
    <xf numFmtId="0" fontId="29" fillId="0" borderId="50" xfId="37" applyFont="1" applyBorder="1" applyAlignment="1" applyProtection="1">
      <alignment horizontal="left" vertical="center" wrapText="1"/>
      <protection locked="0"/>
    </xf>
    <xf numFmtId="0" fontId="29" fillId="0" borderId="50" xfId="37" applyFont="1" applyBorder="1" applyAlignment="1" applyProtection="1">
      <alignment horizontal="center" vertical="center"/>
      <protection locked="0"/>
    </xf>
    <xf numFmtId="0" fontId="29" fillId="0" borderId="50" xfId="37" applyFont="1" applyBorder="1" applyAlignment="1" applyProtection="1">
      <alignment horizontal="center" vertical="center" wrapText="1"/>
      <protection locked="0"/>
    </xf>
    <xf numFmtId="0" fontId="29" fillId="0" borderId="50" xfId="37" applyFont="1" applyBorder="1" applyAlignment="1" applyProtection="1">
      <alignment horizontal="right" vertical="center"/>
      <protection locked="0"/>
    </xf>
    <xf numFmtId="170" fontId="29" fillId="0" borderId="50" xfId="45" applyNumberFormat="1" applyFont="1" applyBorder="1" applyAlignment="1" applyProtection="1">
      <alignment horizontal="right" vertical="center"/>
      <protection hidden="1"/>
    </xf>
    <xf numFmtId="169" fontId="29" fillId="0" borderId="50" xfId="45" applyNumberFormat="1" applyFont="1" applyBorder="1" applyAlignment="1" applyProtection="1">
      <alignment horizontal="right" vertical="center"/>
      <protection hidden="1"/>
    </xf>
    <xf numFmtId="43" fontId="29" fillId="0" borderId="50" xfId="45" applyFont="1" applyBorder="1" applyAlignment="1" applyProtection="1">
      <alignment horizontal="right" vertical="center"/>
      <protection hidden="1"/>
    </xf>
    <xf numFmtId="0" fontId="55" fillId="0" borderId="0" xfId="37" applyFont="1" applyAlignment="1">
      <alignment horizontal="left" vertical="center" wrapText="1"/>
    </xf>
    <xf numFmtId="0" fontId="55" fillId="0" borderId="0" xfId="37" applyFont="1" applyAlignment="1">
      <alignment horizontal="left" vertical="center"/>
    </xf>
    <xf numFmtId="0" fontId="56" fillId="37" borderId="50" xfId="37" applyFont="1" applyFill="1" applyBorder="1" applyAlignment="1">
      <alignment horizontal="center" vertical="center" wrapText="1"/>
    </xf>
    <xf numFmtId="0" fontId="21" fillId="30" borderId="54" xfId="37" applyFont="1" applyFill="1" applyBorder="1" applyAlignment="1">
      <alignment horizontal="center" vertical="center" wrapText="1"/>
    </xf>
    <xf numFmtId="0" fontId="58" fillId="0" borderId="0" xfId="43" applyFont="1" applyAlignment="1" applyProtection="1">
      <alignment wrapText="1"/>
      <protection locked="0"/>
    </xf>
    <xf numFmtId="0" fontId="58" fillId="0" borderId="0" xfId="43" applyFont="1" applyProtection="1">
      <protection locked="0"/>
    </xf>
    <xf numFmtId="0" fontId="15" fillId="0" borderId="0" xfId="43" applyProtection="1">
      <protection locked="0"/>
    </xf>
    <xf numFmtId="0" fontId="59" fillId="0" borderId="0" xfId="43" applyFont="1" applyAlignment="1" applyProtection="1">
      <alignment wrapText="1"/>
      <protection locked="0"/>
    </xf>
    <xf numFmtId="0" fontId="58" fillId="0" borderId="0" xfId="43" applyFont="1" applyAlignment="1" applyProtection="1">
      <alignment vertical="top" wrapText="1"/>
      <protection locked="0"/>
    </xf>
    <xf numFmtId="0" fontId="15" fillId="0" borderId="0" xfId="43" applyAlignment="1" applyProtection="1">
      <alignment wrapText="1"/>
      <protection locked="0"/>
    </xf>
    <xf numFmtId="0" fontId="0" fillId="0" borderId="55" xfId="0" applyBorder="1"/>
    <xf numFmtId="0" fontId="61" fillId="0" borderId="55" xfId="0" applyFont="1" applyBorder="1" applyAlignment="1">
      <alignment horizontal="right" vertical="top"/>
    </xf>
    <xf numFmtId="0" fontId="29" fillId="0" borderId="62" xfId="37" applyFont="1" applyBorder="1" applyAlignment="1" applyProtection="1">
      <alignment horizontal="left" vertical="center"/>
      <protection locked="0"/>
    </xf>
    <xf numFmtId="0" fontId="29" fillId="0" borderId="63" xfId="37" applyFont="1" applyBorder="1" applyAlignment="1" applyProtection="1">
      <alignment horizontal="left" vertical="center"/>
      <protection locked="0"/>
    </xf>
    <xf numFmtId="0" fontId="29" fillId="0" borderId="64" xfId="37" applyFont="1" applyBorder="1" applyAlignment="1" applyProtection="1">
      <alignment horizontal="left" vertical="center"/>
      <protection locked="0"/>
    </xf>
    <xf numFmtId="0" fontId="29" fillId="0" borderId="65" xfId="37" applyFont="1" applyBorder="1" applyAlignment="1" applyProtection="1">
      <alignment horizontal="right" vertical="center"/>
      <protection locked="0"/>
    </xf>
    <xf numFmtId="0" fontId="29" fillId="0" borderId="65" xfId="37" applyFont="1" applyBorder="1" applyAlignment="1" applyProtection="1">
      <alignment horizontal="left" vertical="center"/>
      <protection locked="0"/>
    </xf>
    <xf numFmtId="0" fontId="29" fillId="0" borderId="66" xfId="37" applyFont="1" applyBorder="1" applyAlignment="1" applyProtection="1">
      <alignment horizontal="left" vertical="center"/>
      <protection locked="0"/>
    </xf>
    <xf numFmtId="0" fontId="29" fillId="0" borderId="67" xfId="37" applyFont="1" applyBorder="1" applyAlignment="1" applyProtection="1">
      <alignment horizontal="left" vertical="center"/>
      <protection locked="0"/>
    </xf>
    <xf numFmtId="0" fontId="48" fillId="0" borderId="69" xfId="0" applyFont="1" applyBorder="1" applyAlignment="1">
      <alignment vertical="center" wrapText="1"/>
    </xf>
    <xf numFmtId="0" fontId="0" fillId="0" borderId="69" xfId="0" applyBorder="1"/>
    <xf numFmtId="0" fontId="35" fillId="34" borderId="61" xfId="37" applyFont="1" applyFill="1" applyBorder="1" applyAlignment="1">
      <alignment horizontal="center" vertical="center" wrapText="1"/>
    </xf>
    <xf numFmtId="0" fontId="48" fillId="0" borderId="69" xfId="0" applyFont="1" applyBorder="1" applyAlignment="1">
      <alignment horizontal="left" vertical="center" wrapText="1"/>
    </xf>
    <xf numFmtId="0" fontId="49" fillId="0" borderId="0" xfId="0" applyFont="1" applyAlignment="1">
      <alignment vertical="center"/>
    </xf>
    <xf numFmtId="0" fontId="27" fillId="0" borderId="0" xfId="37" applyAlignment="1">
      <alignment vertical="top"/>
    </xf>
    <xf numFmtId="0" fontId="21" fillId="26" borderId="70" xfId="37" applyFont="1" applyFill="1" applyBorder="1" applyAlignment="1">
      <alignment horizontal="center" vertical="center" wrapText="1"/>
    </xf>
    <xf numFmtId="0" fontId="21" fillId="26" borderId="11" xfId="37" applyFont="1" applyFill="1" applyBorder="1" applyAlignment="1">
      <alignment horizontal="center" vertical="center" wrapText="1"/>
    </xf>
    <xf numFmtId="0" fontId="21" fillId="26" borderId="71" xfId="37" applyFont="1" applyFill="1" applyBorder="1" applyAlignment="1">
      <alignment vertical="center" wrapText="1"/>
    </xf>
    <xf numFmtId="0" fontId="21" fillId="26" borderId="72" xfId="37" applyFont="1" applyFill="1" applyBorder="1" applyAlignment="1">
      <alignment vertical="center" wrapText="1"/>
    </xf>
    <xf numFmtId="0" fontId="27" fillId="26" borderId="19" xfId="37" applyFill="1" applyBorder="1" applyAlignment="1">
      <alignment vertical="center" wrapText="1"/>
    </xf>
    <xf numFmtId="0" fontId="29" fillId="26" borderId="19" xfId="37" applyFont="1" applyFill="1" applyBorder="1" applyAlignment="1">
      <alignment vertical="center" wrapText="1"/>
    </xf>
    <xf numFmtId="0" fontId="21" fillId="0" borderId="0" xfId="0" applyFont="1" applyAlignment="1">
      <alignment vertical="center"/>
    </xf>
    <xf numFmtId="0" fontId="29" fillId="0" borderId="16" xfId="37" applyFont="1" applyBorder="1" applyAlignment="1" applyProtection="1">
      <alignment horizontal="right" vertical="center"/>
      <protection locked="0"/>
    </xf>
    <xf numFmtId="0" fontId="29" fillId="0" borderId="16" xfId="37" applyFont="1" applyBorder="1" applyAlignment="1" applyProtection="1">
      <alignment horizontal="left" vertical="center"/>
      <protection locked="0"/>
    </xf>
    <xf numFmtId="0" fontId="29" fillId="0" borderId="74" xfId="37" applyFont="1" applyBorder="1" applyAlignment="1" applyProtection="1">
      <alignment horizontal="left" vertical="center"/>
      <protection locked="0"/>
    </xf>
    <xf numFmtId="0" fontId="29" fillId="0" borderId="75" xfId="37" applyFont="1" applyBorder="1" applyAlignment="1" applyProtection="1">
      <alignment horizontal="left" vertical="center"/>
      <protection locked="0"/>
    </xf>
    <xf numFmtId="0" fontId="29" fillId="0" borderId="51" xfId="37" applyFont="1" applyBorder="1" applyAlignment="1" applyProtection="1">
      <alignment horizontal="left" vertical="center"/>
      <protection locked="0"/>
    </xf>
    <xf numFmtId="0" fontId="35" fillId="34" borderId="76" xfId="37" applyFont="1" applyFill="1" applyBorder="1" applyAlignment="1">
      <alignment horizontal="center" vertical="center" wrapText="1"/>
    </xf>
    <xf numFmtId="0" fontId="35" fillId="34" borderId="83" xfId="37" applyFont="1" applyFill="1" applyBorder="1" applyAlignment="1">
      <alignment horizontal="center" vertical="center" wrapText="1"/>
    </xf>
    <xf numFmtId="0" fontId="35" fillId="34" borderId="84" xfId="37" applyFont="1" applyFill="1" applyBorder="1" applyAlignment="1">
      <alignment horizontal="center" vertical="center" wrapText="1"/>
    </xf>
    <xf numFmtId="0" fontId="40" fillId="34" borderId="85" xfId="0" applyFont="1" applyFill="1" applyBorder="1" applyAlignment="1">
      <alignment horizontal="center" vertical="center"/>
    </xf>
    <xf numFmtId="0" fontId="40" fillId="34" borderId="86" xfId="0" applyFont="1" applyFill="1" applyBorder="1" applyAlignment="1">
      <alignment horizontal="center" vertical="center"/>
    </xf>
    <xf numFmtId="0" fontId="40" fillId="34" borderId="87" xfId="37" applyFont="1" applyFill="1" applyBorder="1" applyAlignment="1">
      <alignment horizontal="center" vertical="center" wrapText="1"/>
    </xf>
    <xf numFmtId="0" fontId="56" fillId="35" borderId="50" xfId="37" applyFont="1" applyFill="1" applyBorder="1" applyAlignment="1">
      <alignment horizontal="center" vertical="center" wrapText="1"/>
    </xf>
    <xf numFmtId="0" fontId="35" fillId="28" borderId="17" xfId="0" applyFont="1" applyFill="1" applyBorder="1" applyAlignment="1">
      <alignment horizontal="center" vertical="center" wrapText="1"/>
    </xf>
    <xf numFmtId="0" fontId="35" fillId="28" borderId="17" xfId="0" applyFont="1" applyFill="1" applyBorder="1" applyAlignment="1">
      <alignment vertical="center" wrapText="1"/>
    </xf>
    <xf numFmtId="0" fontId="0" fillId="0" borderId="0" xfId="0" applyAlignment="1">
      <alignment vertical="center" wrapText="1"/>
    </xf>
    <xf numFmtId="171" fontId="0" fillId="0" borderId="17" xfId="0" applyNumberFormat="1" applyBorder="1"/>
    <xf numFmtId="2" fontId="15" fillId="0" borderId="17" xfId="0" applyNumberFormat="1" applyFont="1" applyBorder="1"/>
    <xf numFmtId="43" fontId="15" fillId="27" borderId="17" xfId="45" applyFont="1" applyFill="1" applyBorder="1"/>
    <xf numFmtId="43" fontId="0" fillId="0" borderId="0" xfId="0" applyNumberFormat="1"/>
    <xf numFmtId="43" fontId="0" fillId="0" borderId="17" xfId="0" applyNumberFormat="1" applyBorder="1"/>
    <xf numFmtId="170" fontId="0" fillId="0" borderId="17" xfId="0" applyNumberFormat="1" applyBorder="1"/>
    <xf numFmtId="0" fontId="0" fillId="0" borderId="0" xfId="0" applyAlignment="1">
      <alignment horizontal="center" vertical="center" wrapText="1"/>
    </xf>
    <xf numFmtId="165" fontId="0" fillId="0" borderId="0" xfId="0" applyNumberFormat="1"/>
    <xf numFmtId="173" fontId="29" fillId="0" borderId="50" xfId="45" applyNumberFormat="1" applyFont="1" applyBorder="1" applyAlignment="1" applyProtection="1">
      <alignment horizontal="right" vertical="center"/>
      <protection hidden="1"/>
    </xf>
    <xf numFmtId="172" fontId="1" fillId="0" borderId="50" xfId="45" applyNumberFormat="1" applyFont="1" applyBorder="1" applyAlignment="1" applyProtection="1">
      <alignment horizontal="right" vertical="center"/>
      <protection hidden="1"/>
    </xf>
    <xf numFmtId="169" fontId="1" fillId="0" borderId="50" xfId="45" applyNumberFormat="1" applyFont="1" applyBorder="1" applyAlignment="1" applyProtection="1">
      <alignment horizontal="right" vertical="center"/>
      <protection hidden="1"/>
    </xf>
    <xf numFmtId="0" fontId="0" fillId="27" borderId="0" xfId="0" applyFill="1"/>
    <xf numFmtId="0" fontId="35" fillId="27" borderId="17" xfId="0" applyFont="1" applyFill="1" applyBorder="1"/>
    <xf numFmtId="0" fontId="21" fillId="39" borderId="17" xfId="0" applyFont="1" applyFill="1" applyBorder="1"/>
    <xf numFmtId="174" fontId="15" fillId="0" borderId="0" xfId="0" applyNumberFormat="1" applyFont="1"/>
    <xf numFmtId="43" fontId="1" fillId="0" borderId="50" xfId="45" applyFont="1" applyBorder="1" applyAlignment="1" applyProtection="1">
      <alignment horizontal="right" vertical="center"/>
      <protection hidden="1"/>
    </xf>
    <xf numFmtId="0" fontId="24" fillId="0" borderId="0" xfId="0" applyFont="1" applyAlignment="1">
      <alignment horizontal="center" vertical="center" wrapText="1"/>
    </xf>
    <xf numFmtId="0" fontId="0" fillId="40" borderId="42" xfId="0" applyFill="1" applyBorder="1" applyAlignment="1">
      <alignment horizontal="center" vertical="center"/>
    </xf>
    <xf numFmtId="43" fontId="0" fillId="0" borderId="89" xfId="0" applyNumberFormat="1" applyBorder="1" applyAlignment="1">
      <alignment horizontal="center" vertical="center"/>
    </xf>
    <xf numFmtId="43" fontId="0" fillId="0" borderId="17" xfId="0" applyNumberFormat="1" applyBorder="1" applyAlignment="1">
      <alignment horizontal="center" vertical="center"/>
    </xf>
    <xf numFmtId="2" fontId="65" fillId="0" borderId="17" xfId="0" applyNumberFormat="1" applyFont="1" applyBorder="1" applyAlignment="1" applyProtection="1">
      <alignment horizontal="center" vertical="center"/>
      <protection locked="0"/>
    </xf>
    <xf numFmtId="0" fontId="0" fillId="40" borderId="43" xfId="0" applyFill="1" applyBorder="1" applyAlignment="1">
      <alignment horizontal="center" vertical="center"/>
    </xf>
    <xf numFmtId="0" fontId="67" fillId="40" borderId="41" xfId="0" applyFont="1" applyFill="1" applyBorder="1" applyAlignment="1">
      <alignment horizontal="center" vertical="center"/>
    </xf>
    <xf numFmtId="0" fontId="67" fillId="40" borderId="42" xfId="0" applyFont="1" applyFill="1" applyBorder="1" applyAlignment="1">
      <alignment horizontal="center" vertical="center"/>
    </xf>
    <xf numFmtId="0" fontId="67" fillId="40" borderId="43" xfId="0" applyFont="1" applyFill="1" applyBorder="1" applyAlignment="1">
      <alignment horizontal="center" vertical="center"/>
    </xf>
    <xf numFmtId="0" fontId="0" fillId="40" borderId="41" xfId="0" applyFill="1" applyBorder="1" applyAlignment="1">
      <alignment horizontal="center" vertical="center"/>
    </xf>
    <xf numFmtId="0" fontId="24" fillId="0" borderId="0" xfId="0" applyFont="1" applyAlignment="1">
      <alignment horizontal="left" vertical="center"/>
    </xf>
    <xf numFmtId="0" fontId="35" fillId="28" borderId="18" xfId="0" applyFont="1" applyFill="1" applyBorder="1" applyAlignment="1">
      <alignment horizontal="center" vertical="center"/>
    </xf>
    <xf numFmtId="0" fontId="35" fillId="28" borderId="90" xfId="0" applyFont="1" applyFill="1" applyBorder="1" applyAlignment="1">
      <alignment horizontal="center" vertical="center"/>
    </xf>
    <xf numFmtId="0" fontId="35" fillId="28" borderId="89" xfId="0" applyFont="1" applyFill="1" applyBorder="1" applyAlignment="1">
      <alignment horizontal="center" vertical="center"/>
    </xf>
    <xf numFmtId="0" fontId="35" fillId="28" borderId="17" xfId="0" applyFont="1" applyFill="1" applyBorder="1" applyAlignment="1">
      <alignment horizontal="center" vertical="center"/>
    </xf>
    <xf numFmtId="0" fontId="0" fillId="0" borderId="18" xfId="0" applyBorder="1"/>
    <xf numFmtId="0" fontId="15" fillId="0" borderId="18" xfId="0" applyFont="1" applyBorder="1"/>
    <xf numFmtId="2" fontId="65" fillId="0" borderId="0" xfId="0" applyNumberFormat="1" applyFont="1" applyProtection="1">
      <protection locked="0"/>
    </xf>
    <xf numFmtId="0" fontId="15" fillId="0" borderId="88" xfId="37" applyFont="1" applyBorder="1" applyAlignment="1">
      <alignment vertical="top" wrapText="1"/>
    </xf>
    <xf numFmtId="43" fontId="29" fillId="0" borderId="68" xfId="45" applyFont="1" applyBorder="1" applyAlignment="1" applyProtection="1">
      <alignment horizontal="right" vertical="center"/>
      <protection hidden="1"/>
    </xf>
    <xf numFmtId="0" fontId="27" fillId="0" borderId="92" xfId="37" applyBorder="1" applyAlignment="1" applyProtection="1">
      <alignment horizontal="center" vertical="center"/>
      <protection hidden="1"/>
    </xf>
    <xf numFmtId="0" fontId="27" fillId="0" borderId="93" xfId="37" applyBorder="1" applyAlignment="1">
      <alignment horizontal="left" vertical="top"/>
    </xf>
    <xf numFmtId="169" fontId="29" fillId="32" borderId="17" xfId="45" applyNumberFormat="1" applyFont="1" applyFill="1" applyBorder="1" applyAlignment="1" applyProtection="1">
      <alignment horizontal="right" vertical="center" wrapText="1"/>
      <protection hidden="1"/>
    </xf>
    <xf numFmtId="4" fontId="47" fillId="32" borderId="50" xfId="37" applyNumberFormat="1" applyFont="1" applyFill="1" applyBorder="1" applyAlignment="1">
      <alignment horizontal="center" vertical="center"/>
    </xf>
    <xf numFmtId="2" fontId="66" fillId="0" borderId="50" xfId="37" applyNumberFormat="1" applyFont="1" applyBorder="1" applyAlignment="1">
      <alignment horizontal="left" vertical="center" wrapText="1"/>
    </xf>
    <xf numFmtId="43" fontId="38" fillId="30" borderId="42" xfId="46" applyFont="1" applyFill="1" applyBorder="1" applyAlignment="1" applyProtection="1">
      <alignment horizontal="right" vertical="center"/>
      <protection locked="0"/>
    </xf>
    <xf numFmtId="0" fontId="38" fillId="30" borderId="42" xfId="43" applyFont="1" applyFill="1" applyBorder="1" applyAlignment="1" applyProtection="1">
      <alignment horizontal="right" vertical="center"/>
      <protection locked="0"/>
    </xf>
    <xf numFmtId="0" fontId="68" fillId="0" borderId="0" xfId="49" applyFont="1" applyAlignment="1">
      <alignment vertical="center"/>
    </xf>
    <xf numFmtId="49" fontId="1" fillId="0" borderId="62" xfId="0" applyNumberFormat="1" applyFont="1" applyBorder="1" applyAlignment="1">
      <alignment vertical="center"/>
    </xf>
    <xf numFmtId="0" fontId="1" fillId="0" borderId="63" xfId="0" applyFont="1" applyBorder="1" applyAlignment="1">
      <alignment vertical="center" wrapText="1"/>
    </xf>
    <xf numFmtId="49" fontId="1" fillId="0" borderId="62" xfId="0" quotePrefix="1" applyNumberFormat="1" applyFont="1" applyBorder="1" applyAlignment="1">
      <alignment vertical="center"/>
    </xf>
    <xf numFmtId="49" fontId="1" fillId="0" borderId="64" xfId="0" applyNumberFormat="1" applyFont="1" applyBorder="1" applyAlignment="1">
      <alignment vertical="center"/>
    </xf>
    <xf numFmtId="167" fontId="20" fillId="0" borderId="65" xfId="0" applyNumberFormat="1" applyFont="1" applyBorder="1" applyAlignment="1">
      <alignment vertical="center"/>
    </xf>
    <xf numFmtId="0" fontId="1" fillId="0" borderId="65" xfId="0" applyFont="1" applyBorder="1" applyAlignment="1">
      <alignment vertical="center"/>
    </xf>
    <xf numFmtId="49" fontId="20" fillId="0" borderId="75" xfId="0" applyNumberFormat="1" applyFont="1" applyBorder="1" applyAlignment="1">
      <alignment vertical="center"/>
    </xf>
    <xf numFmtId="167" fontId="20" fillId="0" borderId="16" xfId="0" applyNumberFormat="1" applyFont="1" applyBorder="1" applyAlignment="1">
      <alignment vertical="center"/>
    </xf>
    <xf numFmtId="0" fontId="20" fillId="0" borderId="16" xfId="0" applyFont="1" applyBorder="1" applyAlignment="1">
      <alignment vertical="center"/>
    </xf>
    <xf numFmtId="0" fontId="20" fillId="0" borderId="74" xfId="0" applyFont="1" applyBorder="1" applyAlignment="1">
      <alignment vertical="center" wrapText="1"/>
    </xf>
    <xf numFmtId="0" fontId="1" fillId="0" borderId="67" xfId="0" applyFont="1" applyBorder="1" applyAlignment="1">
      <alignment vertical="center" wrapText="1"/>
    </xf>
    <xf numFmtId="0" fontId="15" fillId="0" borderId="0" xfId="43" applyAlignment="1" applyProtection="1">
      <alignment vertical="center"/>
      <protection locked="0"/>
    </xf>
    <xf numFmtId="0" fontId="15" fillId="0" borderId="0" xfId="43" applyAlignment="1" applyProtection="1">
      <alignment horizontal="center"/>
      <protection locked="0"/>
    </xf>
    <xf numFmtId="0" fontId="0" fillId="0" borderId="0" xfId="0" applyAlignment="1" applyProtection="1">
      <alignment vertical="center"/>
      <protection locked="0"/>
    </xf>
    <xf numFmtId="0" fontId="36" fillId="29" borderId="23" xfId="43" applyFont="1" applyFill="1" applyBorder="1" applyAlignment="1" applyProtection="1">
      <alignment horizontal="left" vertical="center" wrapText="1"/>
      <protection locked="0"/>
    </xf>
    <xf numFmtId="0" fontId="36" fillId="29" borderId="37" xfId="43" applyFont="1" applyFill="1" applyBorder="1" applyAlignment="1" applyProtection="1">
      <alignment horizontal="center" vertical="center" wrapText="1"/>
      <protection locked="0"/>
    </xf>
    <xf numFmtId="0" fontId="36" fillId="29" borderId="37" xfId="43" applyFont="1" applyFill="1" applyBorder="1" applyAlignment="1" applyProtection="1">
      <alignment horizontal="left" vertical="center" wrapText="1"/>
      <protection locked="0"/>
    </xf>
    <xf numFmtId="0" fontId="0" fillId="0" borderId="0" xfId="0" applyProtection="1">
      <protection locked="0"/>
    </xf>
    <xf numFmtId="0" fontId="36" fillId="29" borderId="25" xfId="43" applyFont="1" applyFill="1" applyBorder="1" applyAlignment="1" applyProtection="1">
      <alignment horizontal="center" vertical="center"/>
      <protection locked="0"/>
    </xf>
    <xf numFmtId="0" fontId="15" fillId="0" borderId="42" xfId="43" applyBorder="1" applyAlignment="1" applyProtection="1">
      <alignment horizontal="left" vertical="center"/>
      <protection locked="0"/>
    </xf>
    <xf numFmtId="0" fontId="36" fillId="29" borderId="26" xfId="43" applyFont="1" applyFill="1" applyBorder="1" applyAlignment="1" applyProtection="1">
      <alignment horizontal="center" vertical="center" wrapText="1"/>
      <protection locked="0"/>
    </xf>
    <xf numFmtId="0" fontId="36" fillId="29" borderId="26" xfId="43" applyFont="1" applyFill="1" applyBorder="1" applyAlignment="1" applyProtection="1">
      <alignment horizontal="center" vertical="center"/>
      <protection locked="0"/>
    </xf>
    <xf numFmtId="0" fontId="15" fillId="0" borderId="42" xfId="43" applyBorder="1" applyAlignment="1" applyProtection="1">
      <alignment vertical="center"/>
      <protection locked="0"/>
    </xf>
    <xf numFmtId="0" fontId="42" fillId="31" borderId="29" xfId="43" applyFont="1" applyFill="1" applyBorder="1" applyAlignment="1" applyProtection="1">
      <alignment horizontal="center" vertical="center"/>
      <protection locked="0"/>
    </xf>
    <xf numFmtId="0" fontId="42" fillId="31" borderId="30" xfId="43" applyFont="1" applyFill="1" applyBorder="1" applyAlignment="1" applyProtection="1">
      <alignment horizontal="center" vertical="center" wrapText="1"/>
      <protection locked="0"/>
    </xf>
    <xf numFmtId="0" fontId="38" fillId="0" borderId="31" xfId="43" applyFont="1" applyBorder="1" applyAlignment="1" applyProtection="1">
      <alignment horizontal="left" vertical="center"/>
      <protection locked="0"/>
    </xf>
    <xf numFmtId="0" fontId="38" fillId="0" borderId="32" xfId="43" applyFont="1" applyBorder="1" applyAlignment="1" applyProtection="1">
      <alignment horizontal="center"/>
      <protection locked="0"/>
    </xf>
    <xf numFmtId="0" fontId="38" fillId="0" borderId="27" xfId="43" applyFont="1" applyBorder="1" applyAlignment="1" applyProtection="1">
      <alignment horizontal="left" vertical="center"/>
      <protection locked="0"/>
    </xf>
    <xf numFmtId="0" fontId="38" fillId="0" borderId="27" xfId="43" applyFont="1" applyBorder="1" applyAlignment="1" applyProtection="1">
      <alignment horizontal="left" vertical="center" wrapText="1"/>
      <protection locked="0"/>
    </xf>
    <xf numFmtId="0" fontId="38" fillId="0" borderId="32" xfId="43" applyFont="1" applyBorder="1" applyAlignment="1" applyProtection="1">
      <alignment horizontal="center" vertical="center"/>
      <protection locked="0"/>
    </xf>
    <xf numFmtId="0" fontId="38" fillId="0" borderId="28" xfId="43" applyFont="1" applyBorder="1" applyAlignment="1" applyProtection="1">
      <alignment horizontal="left" vertical="center"/>
      <protection locked="0"/>
    </xf>
    <xf numFmtId="0" fontId="38" fillId="0" borderId="34" xfId="43" applyFont="1" applyBorder="1" applyAlignment="1" applyProtection="1">
      <alignment horizontal="center"/>
      <protection locked="0"/>
    </xf>
    <xf numFmtId="0" fontId="38" fillId="0" borderId="0" xfId="43" applyFont="1" applyAlignment="1" applyProtection="1">
      <alignment horizontal="center" vertical="center"/>
      <protection locked="0"/>
    </xf>
    <xf numFmtId="0" fontId="42" fillId="31" borderId="37" xfId="43" applyFont="1" applyFill="1" applyBorder="1" applyAlignment="1" applyProtection="1">
      <alignment horizontal="center" vertical="center" wrapText="1"/>
      <protection locked="0"/>
    </xf>
    <xf numFmtId="0" fontId="42" fillId="31" borderId="25" xfId="43" applyFont="1" applyFill="1" applyBorder="1" applyAlignment="1" applyProtection="1">
      <alignment horizontal="center" vertical="center"/>
      <protection locked="0"/>
    </xf>
    <xf numFmtId="0" fontId="15" fillId="0" borderId="41" xfId="43" applyBorder="1" applyAlignment="1" applyProtection="1">
      <alignment horizontal="left" vertical="center" indent="1"/>
      <protection locked="0"/>
    </xf>
    <xf numFmtId="168" fontId="15" fillId="0" borderId="41" xfId="43" applyNumberFormat="1" applyBorder="1" applyAlignment="1" applyProtection="1">
      <alignment horizontal="center" vertical="center"/>
      <protection locked="0"/>
    </xf>
    <xf numFmtId="0" fontId="15" fillId="0" borderId="42" xfId="43" applyBorder="1" applyAlignment="1" applyProtection="1">
      <alignment horizontal="left" vertical="center" indent="1"/>
      <protection locked="0"/>
    </xf>
    <xf numFmtId="168" fontId="15" fillId="0" borderId="42" xfId="43" applyNumberFormat="1" applyBorder="1" applyAlignment="1" applyProtection="1">
      <alignment horizontal="center" vertical="center"/>
      <protection locked="0"/>
    </xf>
    <xf numFmtId="0" fontId="15" fillId="0" borderId="43" xfId="43" applyBorder="1" applyAlignment="1" applyProtection="1">
      <alignment horizontal="left" vertical="center" indent="1"/>
      <protection locked="0"/>
    </xf>
    <xf numFmtId="0" fontId="15" fillId="0" borderId="45" xfId="43" applyBorder="1" applyAlignment="1" applyProtection="1">
      <alignment horizontal="left" vertical="center" wrapText="1"/>
      <protection locked="0"/>
    </xf>
    <xf numFmtId="0" fontId="15" fillId="0" borderId="45" xfId="43" applyBorder="1" applyAlignment="1" applyProtection="1">
      <alignment vertical="center" wrapText="1"/>
      <protection locked="0"/>
    </xf>
    <xf numFmtId="168" fontId="15" fillId="0" borderId="43" xfId="43" applyNumberFormat="1" applyBorder="1" applyAlignment="1" applyProtection="1">
      <alignment horizontal="center" vertical="center"/>
      <protection locked="0"/>
    </xf>
    <xf numFmtId="168" fontId="38" fillId="0" borderId="33" xfId="43" applyNumberFormat="1" applyFont="1" applyBorder="1" applyAlignment="1">
      <alignment horizontal="center" vertical="center"/>
    </xf>
    <xf numFmtId="168" fontId="38" fillId="0" borderId="35" xfId="43" applyNumberFormat="1" applyFont="1" applyBorder="1" applyAlignment="1">
      <alignment horizontal="center" vertical="center"/>
    </xf>
    <xf numFmtId="168" fontId="15" fillId="0" borderId="44" xfId="43" applyNumberFormat="1" applyBorder="1" applyAlignment="1">
      <alignment horizontal="center" vertical="center"/>
    </xf>
    <xf numFmtId="168" fontId="15" fillId="0" borderId="46" xfId="43" applyNumberFormat="1" applyBorder="1" applyAlignment="1">
      <alignment horizontal="center" vertical="center"/>
    </xf>
    <xf numFmtId="168" fontId="15" fillId="0" borderId="47" xfId="43" applyNumberFormat="1" applyBorder="1" applyAlignment="1">
      <alignment horizontal="center" vertical="center"/>
    </xf>
    <xf numFmtId="0" fontId="21" fillId="34" borderId="100" xfId="0" applyFont="1" applyFill="1" applyBorder="1" applyAlignment="1">
      <alignment horizontal="center" vertical="center"/>
    </xf>
    <xf numFmtId="0" fontId="21" fillId="34" borderId="101" xfId="0" applyFont="1" applyFill="1" applyBorder="1" applyAlignment="1">
      <alignment horizontal="center" vertical="center"/>
    </xf>
    <xf numFmtId="0" fontId="21" fillId="34" borderId="60" xfId="0" applyFont="1" applyFill="1" applyBorder="1" applyAlignment="1">
      <alignment horizontal="center" vertical="center" wrapText="1"/>
    </xf>
    <xf numFmtId="166" fontId="20" fillId="0" borderId="16" xfId="0" applyNumberFormat="1" applyFont="1" applyBorder="1" applyProtection="1">
      <protection hidden="1"/>
    </xf>
    <xf numFmtId="0" fontId="20" fillId="0" borderId="105" xfId="0" applyFont="1" applyBorder="1" applyAlignment="1">
      <alignment horizontal="left" vertical="center"/>
    </xf>
    <xf numFmtId="166" fontId="20" fillId="0" borderId="105" xfId="0" applyNumberFormat="1" applyFont="1" applyBorder="1" applyProtection="1">
      <protection hidden="1"/>
    </xf>
    <xf numFmtId="0" fontId="20" fillId="0" borderId="65" xfId="0" applyFont="1" applyBorder="1" applyAlignment="1">
      <alignment horizontal="left" vertical="center"/>
    </xf>
    <xf numFmtId="166" fontId="20" fillId="0" borderId="65" xfId="0" applyNumberFormat="1" applyFont="1" applyBorder="1" applyProtection="1">
      <protection hidden="1"/>
    </xf>
    <xf numFmtId="166" fontId="0" fillId="0" borderId="65" xfId="0" applyNumberFormat="1" applyBorder="1" applyAlignment="1" applyProtection="1">
      <alignment vertical="center"/>
      <protection hidden="1"/>
    </xf>
    <xf numFmtId="166" fontId="0" fillId="0" borderId="67" xfId="0" applyNumberFormat="1" applyBorder="1" applyAlignment="1" applyProtection="1">
      <alignment vertical="center"/>
      <protection hidden="1"/>
    </xf>
    <xf numFmtId="0" fontId="1" fillId="0" borderId="16" xfId="0" applyFont="1" applyBorder="1" applyAlignment="1">
      <alignment horizontal="left" vertical="center"/>
    </xf>
    <xf numFmtId="0" fontId="35" fillId="34" borderId="115" xfId="37" applyFont="1" applyFill="1" applyBorder="1" applyAlignment="1">
      <alignment horizontal="center" vertical="center" wrapText="1"/>
    </xf>
    <xf numFmtId="0" fontId="35" fillId="34" borderId="121" xfId="37" applyFont="1" applyFill="1" applyBorder="1" applyAlignment="1">
      <alignment horizontal="center" vertical="center" wrapText="1"/>
    </xf>
    <xf numFmtId="43" fontId="39" fillId="34" borderId="43" xfId="43" applyNumberFormat="1" applyFont="1" applyFill="1" applyBorder="1" applyAlignment="1">
      <alignment horizontal="center" vertical="center"/>
    </xf>
    <xf numFmtId="0" fontId="40" fillId="34" borderId="43" xfId="43" applyFont="1" applyFill="1" applyBorder="1" applyAlignment="1">
      <alignment horizontal="left" vertical="center"/>
    </xf>
    <xf numFmtId="0" fontId="71" fillId="0" borderId="0" xfId="0" applyFont="1" applyAlignment="1">
      <alignment vertical="top"/>
    </xf>
    <xf numFmtId="0" fontId="35" fillId="34" borderId="114" xfId="0" applyFont="1" applyFill="1" applyBorder="1" applyAlignment="1">
      <alignment horizontal="center" vertical="center" wrapText="1"/>
    </xf>
    <xf numFmtId="0" fontId="35" fillId="34" borderId="115" xfId="0" applyFont="1" applyFill="1" applyBorder="1" applyAlignment="1">
      <alignment horizontal="center" vertical="center" wrapText="1"/>
    </xf>
    <xf numFmtId="166" fontId="0" fillId="0" borderId="122" xfId="0" applyNumberFormat="1" applyBorder="1" applyAlignment="1" applyProtection="1">
      <alignment vertical="center"/>
      <protection hidden="1"/>
    </xf>
    <xf numFmtId="166" fontId="0" fillId="0" borderId="123" xfId="0" applyNumberFormat="1" applyBorder="1" applyAlignment="1" applyProtection="1">
      <alignment vertical="center"/>
      <protection hidden="1"/>
    </xf>
    <xf numFmtId="166" fontId="0" fillId="0" borderId="60" xfId="0" applyNumberFormat="1" applyBorder="1" applyAlignment="1" applyProtection="1">
      <alignment vertical="center"/>
      <protection hidden="1"/>
    </xf>
    <xf numFmtId="166" fontId="0" fillId="0" borderId="124" xfId="0" applyNumberFormat="1" applyBorder="1" applyAlignment="1" applyProtection="1">
      <alignment vertical="center"/>
      <protection hidden="1"/>
    </xf>
    <xf numFmtId="165" fontId="29" fillId="0" borderId="89" xfId="37" applyNumberFormat="1" applyFont="1" applyBorder="1" applyAlignment="1" applyProtection="1">
      <alignment horizontal="left" vertical="center"/>
      <protection hidden="1"/>
    </xf>
    <xf numFmtId="4" fontId="27" fillId="0" borderId="69" xfId="37" applyNumberFormat="1" applyBorder="1" applyAlignment="1">
      <alignment horizontal="center" vertical="center"/>
    </xf>
    <xf numFmtId="0" fontId="52" fillId="37" borderId="133" xfId="37" applyFont="1" applyFill="1" applyBorder="1" applyAlignment="1">
      <alignment horizontal="center" vertical="center" wrapText="1"/>
    </xf>
    <xf numFmtId="0" fontId="21" fillId="30" borderId="134" xfId="37" applyFont="1" applyFill="1" applyBorder="1" applyAlignment="1">
      <alignment horizontal="center" vertical="center" wrapText="1"/>
    </xf>
    <xf numFmtId="0" fontId="29" fillId="0" borderId="133" xfId="37" applyFont="1" applyBorder="1" applyAlignment="1" applyProtection="1">
      <alignment horizontal="left" vertical="center"/>
      <protection locked="0"/>
    </xf>
    <xf numFmtId="169" fontId="29" fillId="32" borderId="135" xfId="45" applyNumberFormat="1" applyFont="1" applyFill="1" applyBorder="1" applyAlignment="1" applyProtection="1">
      <alignment horizontal="right" vertical="center" wrapText="1"/>
      <protection hidden="1"/>
    </xf>
    <xf numFmtId="0" fontId="29" fillId="0" borderId="136" xfId="37" applyFont="1" applyBorder="1" applyAlignment="1" applyProtection="1">
      <alignment horizontal="left" vertical="center"/>
      <protection locked="0"/>
    </xf>
    <xf numFmtId="0" fontId="29" fillId="0" borderId="137" xfId="37" applyFont="1" applyBorder="1" applyAlignment="1" applyProtection="1">
      <alignment horizontal="left" vertical="center"/>
      <protection locked="0"/>
    </xf>
    <xf numFmtId="0" fontId="29" fillId="0" borderId="138" xfId="37" applyFont="1" applyBorder="1" applyAlignment="1" applyProtection="1">
      <alignment horizontal="left" vertical="center"/>
      <protection locked="0"/>
    </xf>
    <xf numFmtId="0" fontId="29" fillId="0" borderId="138" xfId="37" applyFont="1" applyBorder="1" applyAlignment="1" applyProtection="1">
      <alignment horizontal="left" vertical="center" wrapText="1"/>
      <protection locked="0"/>
    </xf>
    <xf numFmtId="0" fontId="29" fillId="0" borderId="138" xfId="37" applyFont="1" applyBorder="1" applyAlignment="1" applyProtection="1">
      <alignment horizontal="center" vertical="center"/>
      <protection locked="0"/>
    </xf>
    <xf numFmtId="0" fontId="29" fillId="0" borderId="138" xfId="37" applyFont="1" applyBorder="1" applyAlignment="1" applyProtection="1">
      <alignment horizontal="center" vertical="center" wrapText="1"/>
      <protection locked="0"/>
    </xf>
    <xf numFmtId="0" fontId="29" fillId="0" borderId="138" xfId="37" applyFont="1" applyBorder="1" applyAlignment="1" applyProtection="1">
      <alignment horizontal="right" vertical="center"/>
      <protection locked="0"/>
    </xf>
    <xf numFmtId="4" fontId="47" fillId="32" borderId="137" xfId="37" applyNumberFormat="1" applyFont="1" applyFill="1" applyBorder="1" applyAlignment="1">
      <alignment horizontal="center" vertical="center"/>
    </xf>
    <xf numFmtId="2" fontId="66" fillId="0" borderId="137" xfId="37" applyNumberFormat="1" applyFont="1" applyBorder="1" applyAlignment="1">
      <alignment horizontal="left" vertical="center" wrapText="1"/>
    </xf>
    <xf numFmtId="170" fontId="29" fillId="0" borderId="137" xfId="45" applyNumberFormat="1" applyFont="1" applyBorder="1" applyAlignment="1" applyProtection="1">
      <alignment horizontal="right" vertical="center"/>
      <protection hidden="1"/>
    </xf>
    <xf numFmtId="169" fontId="29" fillId="0" borderId="137" xfId="45" applyNumberFormat="1" applyFont="1" applyBorder="1" applyAlignment="1" applyProtection="1">
      <alignment horizontal="right" vertical="center"/>
      <protection hidden="1"/>
    </xf>
    <xf numFmtId="169" fontId="29" fillId="32" borderId="139" xfId="45" applyNumberFormat="1" applyFont="1" applyFill="1" applyBorder="1" applyAlignment="1" applyProtection="1">
      <alignment horizontal="right" vertical="center" wrapText="1"/>
      <protection hidden="1"/>
    </xf>
    <xf numFmtId="169" fontId="29" fillId="32" borderId="140" xfId="45" applyNumberFormat="1" applyFont="1" applyFill="1" applyBorder="1" applyAlignment="1" applyProtection="1">
      <alignment horizontal="right" vertical="center" wrapText="1"/>
      <protection hidden="1"/>
    </xf>
    <xf numFmtId="175" fontId="0" fillId="0" borderId="65" xfId="0" applyNumberFormat="1" applyBorder="1" applyAlignment="1" applyProtection="1">
      <alignment vertical="center"/>
      <protection hidden="1"/>
    </xf>
    <xf numFmtId="0" fontId="61" fillId="0" borderId="0" xfId="0" applyFont="1" applyBorder="1" applyAlignment="1">
      <alignment horizontal="right" vertical="top"/>
    </xf>
    <xf numFmtId="0" fontId="15" fillId="0" borderId="0" xfId="0" applyFont="1" applyAlignment="1">
      <alignment horizontal="left" vertical="top" wrapText="1"/>
    </xf>
    <xf numFmtId="0" fontId="58" fillId="0" borderId="0" xfId="0" applyFont="1" applyAlignment="1">
      <alignment horizontal="left" vertical="top" wrapText="1"/>
    </xf>
    <xf numFmtId="0" fontId="58" fillId="0" borderId="0" xfId="0" applyFont="1" applyAlignment="1">
      <alignment vertical="top" wrapText="1"/>
    </xf>
    <xf numFmtId="0" fontId="15" fillId="0" borderId="0" xfId="0" applyFont="1" applyAlignment="1">
      <alignment vertical="top" wrapText="1"/>
    </xf>
    <xf numFmtId="0" fontId="63" fillId="38" borderId="56" xfId="48" applyFont="1" applyFill="1" applyBorder="1" applyAlignment="1" applyProtection="1">
      <alignment vertical="center"/>
    </xf>
    <xf numFmtId="0" fontId="15" fillId="0" borderId="57" xfId="0" applyFont="1" applyBorder="1" applyAlignment="1">
      <alignment vertical="center"/>
    </xf>
    <xf numFmtId="0" fontId="15" fillId="0" borderId="58" xfId="0" applyFont="1" applyBorder="1" applyAlignment="1">
      <alignment vertical="center"/>
    </xf>
    <xf numFmtId="0" fontId="35" fillId="34" borderId="80" xfId="37" applyFont="1" applyFill="1" applyBorder="1" applyAlignment="1">
      <alignment horizontal="center" vertical="center" wrapText="1"/>
    </xf>
    <xf numFmtId="0" fontId="35" fillId="34" borderId="82" xfId="37" applyFont="1" applyFill="1" applyBorder="1" applyAlignment="1">
      <alignment horizontal="center" vertical="center" wrapText="1"/>
    </xf>
    <xf numFmtId="0" fontId="35" fillId="34" borderId="73" xfId="37" applyFont="1" applyFill="1" applyBorder="1" applyAlignment="1">
      <alignment horizontal="center" vertical="center" wrapText="1"/>
    </xf>
    <xf numFmtId="0" fontId="35" fillId="34" borderId="77" xfId="37" applyFont="1" applyFill="1" applyBorder="1" applyAlignment="1">
      <alignment horizontal="center" vertical="center" wrapText="1"/>
    </xf>
    <xf numFmtId="0" fontId="35" fillId="34" borderId="81" xfId="37" applyFont="1" applyFill="1" applyBorder="1" applyAlignment="1">
      <alignment horizontal="center" vertical="center" wrapText="1"/>
    </xf>
    <xf numFmtId="0" fontId="35" fillId="34" borderId="78" xfId="37" applyFont="1" applyFill="1" applyBorder="1" applyAlignment="1">
      <alignment horizontal="center" vertical="center" wrapText="1"/>
    </xf>
    <xf numFmtId="0" fontId="35" fillId="34" borderId="79" xfId="37" applyFont="1" applyFill="1" applyBorder="1" applyAlignment="1">
      <alignment horizontal="center" vertical="center" wrapText="1"/>
    </xf>
    <xf numFmtId="0" fontId="35" fillId="34" borderId="102" xfId="37" applyFont="1" applyFill="1" applyBorder="1" applyAlignment="1">
      <alignment horizontal="center" vertical="center" wrapText="1"/>
    </xf>
    <xf numFmtId="0" fontId="35" fillId="34" borderId="103" xfId="37" applyFont="1" applyFill="1" applyBorder="1" applyAlignment="1">
      <alignment horizontal="center" vertical="center" wrapText="1"/>
    </xf>
    <xf numFmtId="0" fontId="15" fillId="0" borderId="88" xfId="37" applyFont="1" applyBorder="1" applyAlignment="1">
      <alignment horizontal="left" vertical="top" wrapText="1"/>
    </xf>
    <xf numFmtId="0" fontId="15" fillId="0" borderId="88" xfId="37" applyFont="1" applyBorder="1" applyAlignment="1">
      <alignment horizontal="left" vertical="center" wrapText="1"/>
    </xf>
    <xf numFmtId="0" fontId="27" fillId="0" borderId="0" xfId="37" applyAlignment="1">
      <alignment horizontal="left" vertical="top" wrapText="1"/>
    </xf>
    <xf numFmtId="0" fontId="27" fillId="0" borderId="59" xfId="37" applyBorder="1" applyAlignment="1" applyProtection="1">
      <alignment horizontal="left" vertical="center"/>
      <protection locked="0"/>
    </xf>
    <xf numFmtId="0" fontId="27" fillId="0" borderId="60" xfId="37" applyBorder="1" applyAlignment="1" applyProtection="1">
      <alignment horizontal="left" vertical="center"/>
      <protection locked="0"/>
    </xf>
    <xf numFmtId="0" fontId="15" fillId="0" borderId="0" xfId="0" applyFont="1" applyAlignment="1">
      <alignment vertical="center" wrapText="1"/>
    </xf>
    <xf numFmtId="0" fontId="64" fillId="0" borderId="0" xfId="0" applyFont="1" applyAlignment="1">
      <alignment horizontal="left" vertical="center" wrapText="1"/>
    </xf>
    <xf numFmtId="0" fontId="51" fillId="30" borderId="130" xfId="37" applyFont="1" applyFill="1" applyBorder="1" applyAlignment="1">
      <alignment horizontal="center" vertical="center" wrapText="1"/>
    </xf>
    <xf numFmtId="0" fontId="51" fillId="30" borderId="73" xfId="37" applyFont="1" applyFill="1" applyBorder="1" applyAlignment="1">
      <alignment horizontal="center" vertical="center" wrapText="1"/>
    </xf>
    <xf numFmtId="0" fontId="51" fillId="30" borderId="109" xfId="37" applyFont="1" applyFill="1" applyBorder="1" applyAlignment="1">
      <alignment horizontal="center" vertical="center" wrapText="1"/>
    </xf>
    <xf numFmtId="0" fontId="51" fillId="30" borderId="52" xfId="37" applyFont="1" applyFill="1" applyBorder="1" applyAlignment="1">
      <alignment horizontal="center" vertical="center" wrapText="1"/>
    </xf>
    <xf numFmtId="0" fontId="51" fillId="30" borderId="53" xfId="37" applyFont="1" applyFill="1" applyBorder="1" applyAlignment="1">
      <alignment horizontal="center" vertical="center" wrapText="1"/>
    </xf>
    <xf numFmtId="0" fontId="51" fillId="30" borderId="132" xfId="37" applyFont="1" applyFill="1" applyBorder="1" applyAlignment="1">
      <alignment horizontal="center" vertical="center" wrapText="1"/>
    </xf>
    <xf numFmtId="0" fontId="52" fillId="34" borderId="128" xfId="37" applyFont="1" applyFill="1" applyBorder="1" applyAlignment="1">
      <alignment horizontal="center" vertical="center" wrapText="1"/>
    </xf>
    <xf numFmtId="0" fontId="52" fillId="34" borderId="50" xfId="37" applyFont="1" applyFill="1" applyBorder="1" applyAlignment="1">
      <alignment horizontal="center" vertical="center" wrapText="1"/>
    </xf>
    <xf numFmtId="0" fontId="52" fillId="36" borderId="125" xfId="37" applyFont="1" applyFill="1" applyBorder="1" applyAlignment="1">
      <alignment horizontal="center" vertical="center" wrapText="1"/>
    </xf>
    <xf numFmtId="0" fontId="52" fillId="36" borderId="126" xfId="37" applyFont="1" applyFill="1" applyBorder="1" applyAlignment="1">
      <alignment horizontal="center" vertical="center" wrapText="1"/>
    </xf>
    <xf numFmtId="0" fontId="52" fillId="36" borderId="127" xfId="37" applyFont="1" applyFill="1" applyBorder="1" applyAlignment="1">
      <alignment horizontal="center" vertical="center" wrapText="1"/>
    </xf>
    <xf numFmtId="0" fontId="52" fillId="34" borderId="107" xfId="37" applyFont="1" applyFill="1" applyBorder="1" applyAlignment="1">
      <alignment horizontal="center" vertical="center" wrapText="1"/>
    </xf>
    <xf numFmtId="0" fontId="52" fillId="34" borderId="131" xfId="37" applyFont="1" applyFill="1" applyBorder="1" applyAlignment="1">
      <alignment horizontal="center" vertical="center" wrapText="1"/>
    </xf>
    <xf numFmtId="0" fontId="52" fillId="35" borderId="73" xfId="37" applyFont="1" applyFill="1" applyBorder="1" applyAlignment="1">
      <alignment horizontal="center" vertical="center" wrapText="1"/>
    </xf>
    <xf numFmtId="0" fontId="52" fillId="35" borderId="53" xfId="37" applyFont="1" applyFill="1" applyBorder="1" applyAlignment="1">
      <alignment horizontal="center" vertical="center" wrapText="1"/>
    </xf>
    <xf numFmtId="0" fontId="52" fillId="34" borderId="73" xfId="37" applyFont="1" applyFill="1" applyBorder="1" applyAlignment="1">
      <alignment horizontal="center" vertical="center" wrapText="1"/>
    </xf>
    <xf numFmtId="0" fontId="52" fillId="34" borderId="53" xfId="37" applyFont="1" applyFill="1" applyBorder="1" applyAlignment="1">
      <alignment horizontal="center" vertical="center" wrapText="1"/>
    </xf>
    <xf numFmtId="4" fontId="35" fillId="33" borderId="128" xfId="37" applyNumberFormat="1" applyFont="1" applyFill="1" applyBorder="1" applyAlignment="1">
      <alignment horizontal="center" vertical="center" wrapText="1"/>
    </xf>
    <xf numFmtId="4" fontId="35" fillId="33" borderId="50" xfId="37" applyNumberFormat="1" applyFont="1" applyFill="1" applyBorder="1" applyAlignment="1">
      <alignment horizontal="center" vertical="center" wrapText="1"/>
    </xf>
    <xf numFmtId="0" fontId="35" fillId="34" borderId="129" xfId="37" applyFont="1" applyFill="1" applyBorder="1" applyAlignment="1">
      <alignment horizontal="center" vertical="center" wrapText="1"/>
    </xf>
    <xf numFmtId="0" fontId="35" fillId="34" borderId="91" xfId="37" applyFont="1" applyFill="1" applyBorder="1" applyAlignment="1">
      <alignment horizontal="center" vertical="center" wrapText="1"/>
    </xf>
    <xf numFmtId="0" fontId="55" fillId="0" borderId="0" xfId="37" applyFont="1" applyAlignment="1">
      <alignment horizontal="left" vertical="center" wrapText="1"/>
    </xf>
    <xf numFmtId="43" fontId="27" fillId="0" borderId="97" xfId="45" applyFont="1" applyBorder="1" applyAlignment="1" applyProtection="1">
      <alignment vertical="center"/>
      <protection hidden="1"/>
    </xf>
    <xf numFmtId="43" fontId="27" fillId="0" borderId="98" xfId="45" applyFont="1" applyBorder="1" applyAlignment="1" applyProtection="1">
      <alignment vertical="center"/>
      <protection hidden="1"/>
    </xf>
    <xf numFmtId="43" fontId="27" fillId="0" borderId="99" xfId="45" applyFont="1" applyBorder="1" applyAlignment="1" applyProtection="1">
      <alignment vertical="center"/>
      <protection hidden="1"/>
    </xf>
    <xf numFmtId="0" fontId="35" fillId="34" borderId="94" xfId="37" applyFont="1" applyFill="1" applyBorder="1" applyAlignment="1">
      <alignment horizontal="center" vertical="center" wrapText="1"/>
    </xf>
    <xf numFmtId="0" fontId="35" fillId="34" borderId="95" xfId="37" applyFont="1" applyFill="1" applyBorder="1" applyAlignment="1">
      <alignment horizontal="center" vertical="center" wrapText="1"/>
    </xf>
    <xf numFmtId="0" fontId="35" fillId="34" borderId="96" xfId="37" applyFont="1" applyFill="1" applyBorder="1" applyAlignment="1">
      <alignment horizontal="center" vertical="center" wrapText="1"/>
    </xf>
    <xf numFmtId="0" fontId="35" fillId="34" borderId="88" xfId="37" applyFont="1" applyFill="1" applyBorder="1" applyAlignment="1">
      <alignment horizontal="center" vertical="center" wrapText="1"/>
    </xf>
    <xf numFmtId="0" fontId="35" fillId="34" borderId="0" xfId="37" applyFont="1" applyFill="1" applyAlignment="1">
      <alignment horizontal="center" vertical="center" wrapText="1"/>
    </xf>
    <xf numFmtId="0" fontId="42" fillId="31" borderId="20" xfId="43" applyFont="1" applyFill="1" applyBorder="1" applyAlignment="1" applyProtection="1">
      <alignment horizontal="center" vertical="center" wrapText="1"/>
      <protection locked="0"/>
    </xf>
    <xf numFmtId="0" fontId="42" fillId="31" borderId="22" xfId="43" applyFont="1" applyFill="1" applyBorder="1" applyAlignment="1" applyProtection="1">
      <alignment horizontal="center" vertical="center" wrapText="1"/>
      <protection locked="0"/>
    </xf>
    <xf numFmtId="0" fontId="15" fillId="0" borderId="37" xfId="43" applyBorder="1" applyAlignment="1" applyProtection="1">
      <alignment horizontal="left" vertical="center" wrapText="1"/>
      <protection locked="0"/>
    </xf>
    <xf numFmtId="0" fontId="15" fillId="0" borderId="38" xfId="43" applyBorder="1" applyAlignment="1" applyProtection="1">
      <alignment horizontal="left" vertical="center" wrapText="1"/>
      <protection locked="0"/>
    </xf>
    <xf numFmtId="0" fontId="15" fillId="0" borderId="36" xfId="43" applyBorder="1" applyAlignment="1" applyProtection="1">
      <alignment horizontal="left" vertical="center" wrapText="1"/>
      <protection locked="0"/>
    </xf>
    <xf numFmtId="0" fontId="15" fillId="0" borderId="21" xfId="43" applyBorder="1" applyAlignment="1" applyProtection="1">
      <alignment horizontal="left" vertical="top" wrapText="1"/>
      <protection locked="0"/>
    </xf>
    <xf numFmtId="0" fontId="15" fillId="0" borderId="0" xfId="43" applyAlignment="1" applyProtection="1">
      <alignment horizontal="left" vertical="top" wrapText="1"/>
      <protection locked="0"/>
    </xf>
    <xf numFmtId="0" fontId="15" fillId="0" borderId="0" xfId="43" applyAlignment="1" applyProtection="1">
      <alignment horizontal="left" vertical="center" wrapText="1"/>
      <protection locked="0"/>
    </xf>
    <xf numFmtId="0" fontId="15" fillId="0" borderId="0" xfId="43" applyAlignment="1" applyProtection="1">
      <alignment horizontal="left" vertical="center"/>
      <protection locked="0"/>
    </xf>
    <xf numFmtId="0" fontId="36" fillId="29" borderId="20" xfId="43" applyFont="1" applyFill="1" applyBorder="1" applyAlignment="1" applyProtection="1">
      <alignment horizontal="left" vertical="center" wrapText="1"/>
      <protection locked="0"/>
    </xf>
    <xf numFmtId="0" fontId="36" fillId="29" borderId="21" xfId="43" applyFont="1" applyFill="1" applyBorder="1" applyAlignment="1" applyProtection="1">
      <alignment horizontal="left" vertical="center" wrapText="1"/>
      <protection locked="0"/>
    </xf>
    <xf numFmtId="0" fontId="36" fillId="29" borderId="23" xfId="43" applyFont="1" applyFill="1" applyBorder="1" applyAlignment="1" applyProtection="1">
      <alignment horizontal="left" vertical="center" wrapText="1"/>
      <protection locked="0"/>
    </xf>
    <xf numFmtId="0" fontId="36" fillId="29" borderId="0" xfId="43" applyFont="1" applyFill="1" applyAlignment="1" applyProtection="1">
      <alignment horizontal="left" vertical="center" wrapText="1"/>
      <protection locked="0"/>
    </xf>
    <xf numFmtId="0" fontId="42" fillId="31" borderId="39" xfId="43" applyFont="1" applyFill="1" applyBorder="1" applyAlignment="1" applyProtection="1">
      <alignment horizontal="center" vertical="center"/>
      <protection locked="0"/>
    </xf>
    <xf numFmtId="0" fontId="42" fillId="31" borderId="40" xfId="43" applyFont="1" applyFill="1" applyBorder="1" applyAlignment="1" applyProtection="1">
      <alignment horizontal="center" vertical="center"/>
      <protection locked="0"/>
    </xf>
    <xf numFmtId="0" fontId="42" fillId="31" borderId="23" xfId="43" applyFont="1" applyFill="1" applyBorder="1" applyAlignment="1" applyProtection="1">
      <alignment horizontal="center" vertical="center" wrapText="1"/>
      <protection locked="0"/>
    </xf>
    <xf numFmtId="0" fontId="42" fillId="31" borderId="24" xfId="43" applyFont="1" applyFill="1" applyBorder="1" applyAlignment="1" applyProtection="1">
      <alignment horizontal="center" vertical="center" wrapText="1"/>
      <protection locked="0"/>
    </xf>
    <xf numFmtId="0" fontId="41" fillId="31" borderId="20" xfId="43" applyFont="1" applyFill="1" applyBorder="1" applyAlignment="1" applyProtection="1">
      <alignment horizontal="center" vertical="center" wrapText="1"/>
      <protection locked="0"/>
    </xf>
    <xf numFmtId="0" fontId="41" fillId="31" borderId="21" xfId="43" applyFont="1" applyFill="1" applyBorder="1" applyAlignment="1" applyProtection="1">
      <alignment horizontal="center" vertical="center" wrapText="1"/>
      <protection locked="0"/>
    </xf>
    <xf numFmtId="0" fontId="41" fillId="31" borderId="22" xfId="43" applyFont="1" applyFill="1" applyBorder="1" applyAlignment="1" applyProtection="1">
      <alignment horizontal="center" vertical="center" wrapText="1"/>
      <protection locked="0"/>
    </xf>
    <xf numFmtId="0" fontId="41" fillId="31" borderId="45" xfId="43" applyFont="1" applyFill="1" applyBorder="1" applyAlignment="1" applyProtection="1">
      <alignment horizontal="center" vertical="center"/>
      <protection locked="0"/>
    </xf>
    <xf numFmtId="0" fontId="41" fillId="31" borderId="48" xfId="43" applyFont="1" applyFill="1" applyBorder="1" applyAlignment="1" applyProtection="1">
      <alignment horizontal="center" vertical="center"/>
      <protection locked="0"/>
    </xf>
    <xf numFmtId="0" fontId="41" fillId="31" borderId="30" xfId="43" applyFont="1" applyFill="1" applyBorder="1" applyAlignment="1" applyProtection="1">
      <alignment horizontal="center" vertical="center"/>
      <protection locked="0"/>
    </xf>
    <xf numFmtId="0" fontId="42" fillId="31" borderId="37" xfId="43" applyFont="1" applyFill="1" applyBorder="1" applyAlignment="1" applyProtection="1">
      <alignment horizontal="center" vertical="center"/>
      <protection locked="0"/>
    </xf>
    <xf numFmtId="0" fontId="42" fillId="31" borderId="36" xfId="43" applyFont="1" applyFill="1" applyBorder="1" applyAlignment="1" applyProtection="1">
      <alignment horizontal="center" vertical="center"/>
      <protection locked="0"/>
    </xf>
    <xf numFmtId="0" fontId="42" fillId="31" borderId="37" xfId="43" applyFont="1" applyFill="1" applyBorder="1" applyAlignment="1" applyProtection="1">
      <alignment horizontal="center" vertical="center" wrapText="1"/>
      <protection locked="0"/>
    </xf>
    <xf numFmtId="0" fontId="42" fillId="31" borderId="36" xfId="43" applyFont="1" applyFill="1" applyBorder="1" applyAlignment="1" applyProtection="1">
      <alignment horizontal="center" vertical="center" wrapText="1"/>
      <protection locked="0"/>
    </xf>
    <xf numFmtId="0" fontId="21" fillId="25" borderId="12" xfId="0" applyFont="1" applyFill="1" applyBorder="1" applyAlignment="1">
      <alignment horizontal="center" wrapText="1"/>
    </xf>
    <xf numFmtId="0" fontId="35" fillId="34" borderId="104" xfId="0" applyFont="1" applyFill="1" applyBorder="1" applyAlignment="1">
      <alignment horizontal="center" vertical="center"/>
    </xf>
    <xf numFmtId="0" fontId="35" fillId="34" borderId="106" xfId="0" applyFont="1" applyFill="1" applyBorder="1" applyAlignment="1">
      <alignment horizontal="center" vertical="center"/>
    </xf>
    <xf numFmtId="0" fontId="20" fillId="0" borderId="104" xfId="0" applyFont="1" applyBorder="1" applyAlignment="1">
      <alignment horizontal="left" vertical="center"/>
    </xf>
    <xf numFmtId="0" fontId="20" fillId="0" borderId="64" xfId="0" applyFont="1" applyBorder="1" applyAlignment="1">
      <alignment horizontal="left" vertical="center"/>
    </xf>
    <xf numFmtId="166" fontId="20" fillId="0" borderId="106" xfId="0" applyNumberFormat="1" applyFont="1" applyBorder="1" applyAlignment="1" applyProtection="1">
      <alignment horizontal="right" vertical="center"/>
      <protection hidden="1"/>
    </xf>
    <xf numFmtId="166" fontId="20" fillId="0" borderId="67" xfId="0" applyNumberFormat="1" applyFont="1" applyBorder="1" applyAlignment="1" applyProtection="1">
      <alignment horizontal="right" vertical="center"/>
      <protection hidden="1"/>
    </xf>
    <xf numFmtId="0" fontId="35" fillId="34" borderId="116" xfId="0" applyFont="1" applyFill="1" applyBorder="1" applyAlignment="1">
      <alignment horizontal="center" vertical="center"/>
    </xf>
    <xf numFmtId="0" fontId="35" fillId="34" borderId="120" xfId="0" applyFont="1" applyFill="1" applyBorder="1" applyAlignment="1">
      <alignment horizontal="center" vertical="center"/>
    </xf>
    <xf numFmtId="0" fontId="35" fillId="34" borderId="117" xfId="0" applyFont="1" applyFill="1" applyBorder="1" applyAlignment="1">
      <alignment horizontal="center" vertical="center"/>
    </xf>
    <xf numFmtId="0" fontId="21" fillId="25" borderId="0" xfId="0" applyFont="1" applyFill="1" applyAlignment="1">
      <alignment horizontal="center" wrapText="1"/>
    </xf>
    <xf numFmtId="0" fontId="35" fillId="34" borderId="109" xfId="0" applyFont="1" applyFill="1" applyBorder="1" applyAlignment="1">
      <alignment horizontal="center" vertical="center" wrapText="1"/>
    </xf>
    <xf numFmtId="0" fontId="35" fillId="34" borderId="110" xfId="0" applyFont="1" applyFill="1" applyBorder="1" applyAlignment="1">
      <alignment horizontal="center" vertical="center" wrapText="1"/>
    </xf>
    <xf numFmtId="0" fontId="35" fillId="34" borderId="64" xfId="0" applyFont="1" applyFill="1" applyBorder="1" applyAlignment="1">
      <alignment horizontal="center" vertical="center" wrapText="1"/>
    </xf>
    <xf numFmtId="0" fontId="35" fillId="34" borderId="67" xfId="0" applyFont="1" applyFill="1" applyBorder="1" applyAlignment="1">
      <alignment horizontal="center" vertical="center"/>
    </xf>
    <xf numFmtId="43" fontId="0" fillId="0" borderId="122" xfId="45" applyFont="1" applyBorder="1" applyAlignment="1" applyProtection="1">
      <alignment horizontal="center" vertical="center"/>
      <protection hidden="1"/>
    </xf>
    <xf numFmtId="43" fontId="0" fillId="0" borderId="123" xfId="45" applyFont="1" applyBorder="1" applyAlignment="1" applyProtection="1">
      <alignment horizontal="center" vertical="center"/>
      <protection hidden="1"/>
    </xf>
    <xf numFmtId="43" fontId="0" fillId="0" borderId="124" xfId="45" applyFont="1" applyBorder="1" applyAlignment="1" applyProtection="1">
      <alignment horizontal="center" vertical="center"/>
      <protection hidden="1"/>
    </xf>
    <xf numFmtId="0" fontId="35" fillId="34" borderId="118" xfId="0" applyFont="1" applyFill="1" applyBorder="1" applyAlignment="1">
      <alignment horizontal="center" vertical="center"/>
    </xf>
    <xf numFmtId="0" fontId="35" fillId="34" borderId="119" xfId="0" applyFont="1" applyFill="1" applyBorder="1" applyAlignment="1">
      <alignment horizontal="center" vertical="center"/>
    </xf>
    <xf numFmtId="0" fontId="35" fillId="34" borderId="73" xfId="0" applyFont="1" applyFill="1" applyBorder="1" applyAlignment="1">
      <alignment horizontal="center" vertical="center"/>
    </xf>
    <xf numFmtId="0" fontId="35" fillId="34" borderId="88" xfId="0" applyFont="1" applyFill="1" applyBorder="1" applyAlignment="1">
      <alignment horizontal="center" vertical="center"/>
    </xf>
    <xf numFmtId="0" fontId="1" fillId="0" borderId="104" xfId="0" applyFont="1" applyBorder="1" applyAlignment="1">
      <alignment horizontal="left" vertical="center"/>
    </xf>
    <xf numFmtId="0" fontId="35" fillId="34" borderId="111" xfId="0" applyFont="1" applyFill="1" applyBorder="1" applyAlignment="1">
      <alignment horizontal="center" vertical="center" wrapText="1"/>
    </xf>
    <xf numFmtId="0" fontId="35" fillId="34" borderId="112" xfId="0" applyFont="1" applyFill="1" applyBorder="1" applyAlignment="1">
      <alignment horizontal="center" vertical="center" wrapText="1"/>
    </xf>
    <xf numFmtId="166" fontId="20" fillId="0" borderId="74" xfId="0" applyNumberFormat="1" applyFont="1" applyBorder="1" applyAlignment="1" applyProtection="1">
      <alignment horizontal="right" vertical="center"/>
      <protection hidden="1"/>
    </xf>
    <xf numFmtId="166" fontId="20" fillId="0" borderId="63" xfId="0" applyNumberFormat="1" applyFont="1" applyBorder="1" applyAlignment="1" applyProtection="1">
      <alignment horizontal="right" vertical="center"/>
      <protection hidden="1"/>
    </xf>
    <xf numFmtId="0" fontId="35" fillId="34" borderId="64" xfId="0" applyFont="1" applyFill="1" applyBorder="1" applyAlignment="1">
      <alignment horizontal="center" vertical="center"/>
    </xf>
    <xf numFmtId="0" fontId="35" fillId="34" borderId="65" xfId="0" applyFont="1" applyFill="1" applyBorder="1" applyAlignment="1">
      <alignment horizontal="center" vertical="center"/>
    </xf>
    <xf numFmtId="0" fontId="35" fillId="34" borderId="107" xfId="0" applyFont="1" applyFill="1" applyBorder="1" applyAlignment="1">
      <alignment horizontal="center" vertical="center"/>
    </xf>
    <xf numFmtId="0" fontId="35" fillId="34" borderId="108" xfId="0" applyFont="1" applyFill="1" applyBorder="1" applyAlignment="1">
      <alignment horizontal="center" vertical="center"/>
    </xf>
    <xf numFmtId="0" fontId="35" fillId="34" borderId="113" xfId="0" applyFont="1" applyFill="1" applyBorder="1" applyAlignment="1">
      <alignment horizontal="center" vertical="center"/>
    </xf>
    <xf numFmtId="0" fontId="35" fillId="34" borderId="114" xfId="0" applyFont="1" applyFill="1" applyBorder="1" applyAlignment="1">
      <alignment horizontal="center" vertical="center"/>
    </xf>
    <xf numFmtId="0" fontId="20" fillId="0" borderId="75" xfId="0" applyFont="1" applyBorder="1" applyAlignment="1">
      <alignment horizontal="left" vertical="center"/>
    </xf>
    <xf numFmtId="0" fontId="20" fillId="0" borderId="62" xfId="0" applyFont="1" applyBorder="1" applyAlignment="1">
      <alignment horizontal="left" vertical="center"/>
    </xf>
    <xf numFmtId="0" fontId="0" fillId="0" borderId="18" xfId="0" applyBorder="1" applyAlignment="1">
      <alignment horizontal="center"/>
    </xf>
    <xf numFmtId="0" fontId="0" fillId="0" borderId="46" xfId="0" applyBorder="1" applyAlignment="1">
      <alignment horizontal="center"/>
    </xf>
    <xf numFmtId="0" fontId="0" fillId="0" borderId="89" xfId="0" applyBorder="1" applyAlignment="1">
      <alignment horizontal="center"/>
    </xf>
    <xf numFmtId="0" fontId="0" fillId="0" borderId="23" xfId="0" applyBorder="1" applyAlignment="1">
      <alignment horizontal="center"/>
    </xf>
    <xf numFmtId="0" fontId="0" fillId="0" borderId="0" xfId="0" applyAlignment="1">
      <alignment horizontal="center"/>
    </xf>
    <xf numFmtId="0" fontId="0" fillId="0" borderId="24" xfId="0" applyBorder="1" applyAlignment="1">
      <alignment horizontal="center"/>
    </xf>
  </cellXfs>
  <cellStyles count="5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45" builtinId="3"/>
    <cellStyle name="Comma 2" xfId="46" xr:uid="{E78E50D4-ADC2-4B07-BFEC-E40C5F3EC8E4}"/>
    <cellStyle name="Currency 2" xfId="44" xr:uid="{9551DA64-9705-4D74-87A4-165F98BCEEC0}"/>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49" builtinId="8"/>
    <cellStyle name="Hyperlink 2" xfId="47" xr:uid="{DA61DFBC-E3CF-490D-B9EE-C7CFB1D64C8F}"/>
    <cellStyle name="Hyperlink 3" xfId="48" xr:uid="{A2315539-697D-4447-8854-11A672D91B29}"/>
    <cellStyle name="Input" xfId="34" builtinId="20" customBuiltin="1"/>
    <cellStyle name="Linked Cell" xfId="35" builtinId="24" customBuiltin="1"/>
    <cellStyle name="Neutral" xfId="36" builtinId="28" customBuiltin="1"/>
    <cellStyle name="Normal" xfId="0" builtinId="0"/>
    <cellStyle name="Normal 2" xfId="43" xr:uid="{3D397241-1F8E-4A98-8941-CAEC169E922D}"/>
    <cellStyle name="Normal_Stationary_combustion_tool_GL1" xfId="37" xr:uid="{00000000-0005-0000-0000-000025000000}"/>
    <cellStyle name="Note" xfId="38" builtinId="10" customBuiltin="1"/>
    <cellStyle name="Output" xfId="39" builtinId="21" customBuiltin="1"/>
    <cellStyle name="Title" xfId="40" builtinId="15" customBuiltin="1"/>
    <cellStyle name="Total" xfId="41" builtinId="25" customBuiltin="1"/>
    <cellStyle name="Warning Text" xfId="42" builtinId="11" customBuiltin="1"/>
  </cellStyles>
  <dxfs count="17">
    <dxf>
      <font>
        <condense val="0"/>
        <extend val="0"/>
        <color indexed="9"/>
      </font>
    </dxf>
    <dxf>
      <font>
        <condense val="0"/>
        <extend val="0"/>
        <color indexed="9"/>
      </font>
    </dxf>
    <dxf>
      <font>
        <condense val="0"/>
        <extend val="0"/>
        <color indexed="9"/>
      </font>
    </dxf>
    <dxf>
      <fill>
        <patternFill patternType="gray125"/>
      </fill>
    </dxf>
    <dxf>
      <fill>
        <patternFill patternType="gray125"/>
      </fill>
    </dxf>
    <dxf>
      <fill>
        <patternFill patternType="gray125">
          <fgColor auto="1"/>
          <bgColor theme="0"/>
        </patternFill>
      </fill>
    </dxf>
    <dxf>
      <fill>
        <patternFill patternType="gray125"/>
      </fill>
    </dxf>
    <dxf>
      <fill>
        <patternFill>
          <bgColor theme="5" tint="-0.499984740745262"/>
        </patternFill>
      </fill>
    </dxf>
    <dxf>
      <fill>
        <patternFill patternType="gray125"/>
      </fill>
    </dxf>
    <dxf>
      <fill>
        <patternFill patternType="gray125"/>
      </fill>
    </dxf>
    <dxf>
      <fill>
        <patternFill patternType="gray125"/>
      </fill>
    </dxf>
    <dxf>
      <fill>
        <patternFill>
          <bgColor theme="5" tint="-0.499984740745262"/>
        </patternFill>
      </fill>
    </dxf>
    <dxf>
      <fill>
        <patternFill>
          <bgColor theme="5" tint="-0.499984740745262"/>
        </patternFill>
      </fill>
    </dxf>
    <dxf>
      <fill>
        <patternFill patternType="gray125"/>
      </fill>
    </dxf>
    <dxf>
      <fill>
        <patternFill patternType="gray125">
          <fgColor auto="1"/>
          <bgColor theme="0"/>
        </patternFill>
      </fill>
    </dxf>
    <dxf>
      <fill>
        <patternFill patternType="gray125"/>
      </fill>
    </dxf>
    <dxf>
      <fill>
        <patternFill patternType="gray125"/>
      </fill>
    </dxf>
  </dxfs>
  <tableStyles count="0" defaultTableStyle="TableStyleMedium9" defaultPivotStyle="PivotStyleLight16"/>
  <colors>
    <mruColors>
      <color rgb="FF00ACA2"/>
      <color rgb="FF00423F"/>
      <color rgb="FFB3FFFB"/>
      <color rgb="FF009E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n-US"/>
              <a:t> </a:t>
            </a:r>
          </a:p>
        </c:rich>
      </c:tx>
      <c:layout>
        <c:manualLayout>
          <c:xMode val="edge"/>
          <c:yMode val="edge"/>
          <c:x val="0.49708737864077723"/>
          <c:y val="3.937007874015748E-2"/>
        </c:manualLayout>
      </c:layout>
      <c:overlay val="0"/>
      <c:spPr>
        <a:noFill/>
        <a:ln w="25400">
          <a:noFill/>
        </a:ln>
      </c:spPr>
    </c:title>
    <c:autoTitleDeleted val="0"/>
    <c:plotArea>
      <c:layout>
        <c:manualLayout>
          <c:layoutTarget val="inner"/>
          <c:xMode val="edge"/>
          <c:yMode val="edge"/>
          <c:x val="0.23106796116504871"/>
          <c:y val="0.24803149606299277"/>
          <c:w val="0.26019417475728157"/>
          <c:h val="0.52755905511811063"/>
        </c:manualLayout>
      </c:layout>
      <c:pieChart>
        <c:varyColors val="1"/>
        <c:ser>
          <c:idx val="0"/>
          <c:order val="0"/>
          <c:dLbls>
            <c:numFmt formatCode="0.00%" sourceLinked="0"/>
            <c:spPr>
              <a:noFill/>
              <a:ln w="25400">
                <a:noFill/>
              </a:ln>
            </c:spPr>
            <c:dLblPos val="bestFit"/>
            <c:showLegendKey val="0"/>
            <c:showVal val="0"/>
            <c:showCatName val="1"/>
            <c:showSerName val="0"/>
            <c:showPercent val="1"/>
            <c:showBubbleSize val="0"/>
            <c:separator>
</c:separator>
            <c:showLeaderLines val="1"/>
            <c:extLst>
              <c:ext xmlns:c15="http://schemas.microsoft.com/office/drawing/2012/chart" uri="{CE6537A1-D6FC-4f65-9D91-7224C49458BB}"/>
            </c:extLst>
          </c:dLbls>
          <c:cat>
            <c:strRef>
              <c:f>Summary!$H$57:$L$57</c:f>
              <c:strCache>
                <c:ptCount val="5"/>
                <c:pt idx="0">
                  <c:v>Road</c:v>
                </c:pt>
                <c:pt idx="1">
                  <c:v>Rail</c:v>
                </c:pt>
                <c:pt idx="2">
                  <c:v>Water</c:v>
                </c:pt>
                <c:pt idx="3">
                  <c:v>Aircraft</c:v>
                </c:pt>
                <c:pt idx="4">
                  <c:v>Offroad</c:v>
                </c:pt>
              </c:strCache>
            </c:strRef>
          </c:cat>
          <c:val>
            <c:numRef>
              <c:f>Summary!$H$58:$L$58</c:f>
              <c:numCache>
                <c:formatCode>General</c:formatCode>
                <c:ptCount val="5"/>
                <c:pt idx="0" formatCode="[=0]0;[&lt;0.001]0.000E+00;0.000">
                  <c:v>0</c:v>
                </c:pt>
                <c:pt idx="1">
                  <c:v>0</c:v>
                </c:pt>
                <c:pt idx="2">
                  <c:v>0</c:v>
                </c:pt>
                <c:pt idx="3" formatCode="[=0]0;[&lt;0.001]0.000E+00;0.000">
                  <c:v>0</c:v>
                </c:pt>
                <c:pt idx="4" formatCode="[=0]0;[&lt;0.001]0.000E+00;0.000">
                  <c:v>0</c:v>
                </c:pt>
              </c:numCache>
            </c:numRef>
          </c:val>
          <c:extLst>
            <c:ext xmlns:c16="http://schemas.microsoft.com/office/drawing/2014/chart" uri="{C3380CC4-5D6E-409C-BE32-E72D297353CC}">
              <c16:uniqueId val="{00000000-7ABC-4AEB-BFA3-4721F3102D47}"/>
            </c:ext>
          </c:extLst>
        </c:ser>
        <c:dLbls>
          <c:showLegendKey val="0"/>
          <c:showVal val="0"/>
          <c:showCatName val="1"/>
          <c:showSerName val="0"/>
          <c:showPercent val="1"/>
          <c:showBubbleSize val="0"/>
          <c:showLeaderLines val="1"/>
        </c:dLbls>
        <c:firstSliceAng val="0"/>
      </c:pieChart>
      <c:spPr>
        <a:noFill/>
        <a:ln w="25400">
          <a:noFill/>
        </a:ln>
      </c:spPr>
    </c:plotArea>
    <c:legend>
      <c:legendPos val="r"/>
      <c:layout>
        <c:manualLayout>
          <c:xMode val="edge"/>
          <c:yMode val="edge"/>
          <c:x val="0.87184466019417717"/>
          <c:y val="0.32283464566929215"/>
          <c:w val="0.11650485436893211"/>
          <c:h val="0.3622047244094494"/>
        </c:manualLayout>
      </c:layout>
      <c:overlay val="0"/>
    </c:legend>
    <c:plotVisOnly val="0"/>
    <c:dispBlanksAs val="zero"/>
    <c:showDLblsOverMax val="0"/>
  </c:chart>
  <c:spPr>
    <a:noFill/>
    <a:ln w="9525">
      <a:noFill/>
    </a:ln>
  </c:spPr>
  <c:printSettings>
    <c:headerFooter alignWithMargins="0"/>
    <c:pageMargins b="1" l="0.75000000000000111" r="0.75000000000000111"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n-US"/>
              <a:t> </a:t>
            </a:r>
          </a:p>
        </c:rich>
      </c:tx>
      <c:layout>
        <c:manualLayout>
          <c:xMode val="edge"/>
          <c:yMode val="edge"/>
          <c:x val="0.49644165475756807"/>
          <c:y val="3.5971223021582746E-2"/>
        </c:manualLayout>
      </c:layout>
      <c:overlay val="0"/>
      <c:spPr>
        <a:noFill/>
        <a:ln w="25400">
          <a:noFill/>
        </a:ln>
      </c:spPr>
    </c:title>
    <c:autoTitleDeleted val="0"/>
    <c:plotArea>
      <c:layout>
        <c:manualLayout>
          <c:layoutTarget val="inner"/>
          <c:xMode val="edge"/>
          <c:yMode val="edge"/>
          <c:x val="0.24555181476574209"/>
          <c:y val="0.2661870503597123"/>
          <c:w val="0.24021373183605246"/>
          <c:h val="0.48561151079136683"/>
        </c:manualLayout>
      </c:layout>
      <c:pieChart>
        <c:varyColors val="1"/>
        <c:ser>
          <c:idx val="0"/>
          <c:order val="0"/>
          <c:dLbls>
            <c:numFmt formatCode="0.00%" sourceLinked="0"/>
            <c:spPr>
              <a:noFill/>
              <a:ln w="25400">
                <a:noFill/>
              </a:ln>
            </c:spPr>
            <c:dLblPos val="bestFit"/>
            <c:showLegendKey val="0"/>
            <c:showVal val="0"/>
            <c:showCatName val="1"/>
            <c:showSerName val="0"/>
            <c:showPercent val="1"/>
            <c:showBubbleSize val="0"/>
            <c:separator>
</c:separator>
            <c:showLeaderLines val="1"/>
            <c:extLst>
              <c:ext xmlns:c15="http://schemas.microsoft.com/office/drawing/2012/chart" uri="{CE6537A1-D6FC-4f65-9D91-7224C49458BB}"/>
            </c:extLst>
          </c:dLbls>
          <c:cat>
            <c:strRef>
              <c:f>Summary!$H$23:$J$23</c:f>
              <c:strCache>
                <c:ptCount val="3"/>
                <c:pt idx="0">
                  <c:v>Scope 1
(metric tonnes)</c:v>
                </c:pt>
                <c:pt idx="1">
                  <c:v>Scope 3
(metric tonnes)</c:v>
                </c:pt>
                <c:pt idx="2">
                  <c:v>Biofuel CO2 Emission
(metric tonnes)</c:v>
                </c:pt>
              </c:strCache>
            </c:strRef>
          </c:cat>
          <c:val>
            <c:numRef>
              <c:f>Summary!$H$24:$J$24</c:f>
              <c:numCache>
                <c:formatCode>0.000</c:formatCode>
                <c:ptCount val="3"/>
                <c:pt idx="0">
                  <c:v>0</c:v>
                </c:pt>
                <c:pt idx="1">
                  <c:v>0</c:v>
                </c:pt>
                <c:pt idx="2">
                  <c:v>0</c:v>
                </c:pt>
              </c:numCache>
            </c:numRef>
          </c:val>
          <c:extLst>
            <c:ext xmlns:c16="http://schemas.microsoft.com/office/drawing/2014/chart" uri="{C3380CC4-5D6E-409C-BE32-E72D297353CC}">
              <c16:uniqueId val="{00000000-E06D-4C32-8271-5FCC1119DA40}"/>
            </c:ext>
          </c:extLst>
        </c:ser>
        <c:dLbls>
          <c:showLegendKey val="0"/>
          <c:showVal val="0"/>
          <c:showCatName val="1"/>
          <c:showSerName val="0"/>
          <c:showPercent val="1"/>
          <c:showBubbleSize val="0"/>
          <c:separator>
</c:separator>
          <c:showLeaderLines val="1"/>
        </c:dLbls>
        <c:firstSliceAng val="0"/>
      </c:pieChart>
      <c:spPr>
        <a:noFill/>
        <a:ln w="25400">
          <a:noFill/>
        </a:ln>
      </c:spPr>
    </c:plotArea>
    <c:legend>
      <c:legendPos val="r"/>
      <c:layout>
        <c:manualLayout>
          <c:xMode val="edge"/>
          <c:yMode val="edge"/>
          <c:x val="0.71352369210076505"/>
          <c:y val="0.35971223021582732"/>
          <c:w val="0.27935961741437132"/>
          <c:h val="0.41726618705036023"/>
        </c:manualLayout>
      </c:layout>
      <c:overlay val="0"/>
    </c:legend>
    <c:plotVisOnly val="0"/>
    <c:dispBlanksAs val="zero"/>
    <c:showDLblsOverMax val="0"/>
  </c:chart>
  <c:spPr>
    <a:noFill/>
    <a:ln w="9525">
      <a:noFill/>
    </a:ln>
  </c:spPr>
  <c:printSettings>
    <c:headerFooter alignWithMargins="0"/>
    <c:pageMargins b="1" l="0.75000000000000111" r="0.75000000000000111" t="1" header="0.5" footer="0.5"/>
    <c:pageSetup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2. Settings'!A1"/><Relationship Id="rId2" Type="http://schemas.openxmlformats.org/officeDocument/2006/relationships/hyperlink" Target="#'1. Introduction'!A1"/><Relationship Id="rId1" Type="http://schemas.openxmlformats.org/officeDocument/2006/relationships/image" Target="../media/image1.png"/><Relationship Id="rId6" Type="http://schemas.openxmlformats.org/officeDocument/2006/relationships/hyperlink" Target="#Summary!A1"/><Relationship Id="rId5" Type="http://schemas.openxmlformats.org/officeDocument/2006/relationships/hyperlink" Target="#'Calculate Mobile Activity Data'!A1"/><Relationship Id="rId4" Type="http://schemas.openxmlformats.org/officeDocument/2006/relationships/hyperlink" Target="#'3. Calculator'!A1"/></Relationships>
</file>

<file path=xl/drawings/_rels/drawing2.xml.rels><?xml version="1.0" encoding="UTF-8" standalone="yes"?>
<Relationships xmlns="http://schemas.openxmlformats.org/package/2006/relationships"><Relationship Id="rId3" Type="http://schemas.openxmlformats.org/officeDocument/2006/relationships/hyperlink" Target="#'3. Calculator'!A1"/><Relationship Id="rId2" Type="http://schemas.openxmlformats.org/officeDocument/2006/relationships/hyperlink" Target="#'2. Settings'!A1"/><Relationship Id="rId1" Type="http://schemas.openxmlformats.org/officeDocument/2006/relationships/hyperlink" Target="#'Welcome!'!A1"/><Relationship Id="rId5" Type="http://schemas.openxmlformats.org/officeDocument/2006/relationships/hyperlink" Target="#Summary!A1"/><Relationship Id="rId4" Type="http://schemas.openxmlformats.org/officeDocument/2006/relationships/hyperlink" Target="#'Calculate Mobile Activity Data'!A1"/></Relationships>
</file>

<file path=xl/drawings/_rels/drawing3.xml.rels><?xml version="1.0" encoding="UTF-8" standalone="yes"?>
<Relationships xmlns="http://schemas.openxmlformats.org/package/2006/relationships"><Relationship Id="rId8" Type="http://schemas.openxmlformats.org/officeDocument/2006/relationships/image" Target="../media/image4.png"/><Relationship Id="rId3" Type="http://schemas.openxmlformats.org/officeDocument/2006/relationships/hyperlink" Target="#'3. Calculator'!A1"/><Relationship Id="rId7" Type="http://schemas.openxmlformats.org/officeDocument/2006/relationships/image" Target="../media/image3.png"/><Relationship Id="rId2" Type="http://schemas.openxmlformats.org/officeDocument/2006/relationships/hyperlink" Target="#'1. Introduction'!A1"/><Relationship Id="rId1" Type="http://schemas.openxmlformats.org/officeDocument/2006/relationships/hyperlink" Target="#'Welcome!'!A1"/><Relationship Id="rId6" Type="http://schemas.openxmlformats.org/officeDocument/2006/relationships/image" Target="../media/image2.png"/><Relationship Id="rId5" Type="http://schemas.openxmlformats.org/officeDocument/2006/relationships/hyperlink" Target="#Summary!A1"/><Relationship Id="rId4" Type="http://schemas.openxmlformats.org/officeDocument/2006/relationships/hyperlink" Target="#'Calculate Mobile Activity Data'!A1"/><Relationship Id="rId9" Type="http://schemas.openxmlformats.org/officeDocument/2006/relationships/image" Target="../media/image5.png"/></Relationships>
</file>

<file path=xl/drawings/_rels/drawing4.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2. Settings'!A1"/><Relationship Id="rId7" Type="http://schemas.openxmlformats.org/officeDocument/2006/relationships/image" Target="../media/image2.png"/><Relationship Id="rId2" Type="http://schemas.openxmlformats.org/officeDocument/2006/relationships/hyperlink" Target="#'1. Introduction'!A1"/><Relationship Id="rId1" Type="http://schemas.openxmlformats.org/officeDocument/2006/relationships/hyperlink" Target="#'Welcome!'!A1"/><Relationship Id="rId6" Type="http://schemas.openxmlformats.org/officeDocument/2006/relationships/hyperlink" Target="#Summary!A1"/><Relationship Id="rId5" Type="http://schemas.openxmlformats.org/officeDocument/2006/relationships/hyperlink" Target="#'Calculate Mobile Activity Data'!A1"/><Relationship Id="rId10" Type="http://schemas.openxmlformats.org/officeDocument/2006/relationships/image" Target="../media/image5.png"/><Relationship Id="rId4" Type="http://schemas.openxmlformats.org/officeDocument/2006/relationships/hyperlink" Target="#'3. Calculator'!A1"/><Relationship Id="rId9"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hyperlink" Target="#'2. Settings'!A1"/><Relationship Id="rId2" Type="http://schemas.openxmlformats.org/officeDocument/2006/relationships/hyperlink" Target="#'1. Introduction'!A1"/><Relationship Id="rId1" Type="http://schemas.openxmlformats.org/officeDocument/2006/relationships/hyperlink" Target="#'Welcome!'!A1"/><Relationship Id="rId5" Type="http://schemas.openxmlformats.org/officeDocument/2006/relationships/hyperlink" Target="#Summary!A1"/><Relationship Id="rId4" Type="http://schemas.openxmlformats.org/officeDocument/2006/relationships/hyperlink" Target="#'3. Calculator'!A1"/></Relationships>
</file>

<file path=xl/drawings/_rels/drawing6.xml.rels><?xml version="1.0" encoding="UTF-8" standalone="yes"?>
<Relationships xmlns="http://schemas.openxmlformats.org/package/2006/relationships"><Relationship Id="rId3" Type="http://schemas.openxmlformats.org/officeDocument/2006/relationships/hyperlink" Target="#'Welcome!'!A1"/><Relationship Id="rId7" Type="http://schemas.openxmlformats.org/officeDocument/2006/relationships/hyperlink" Target="#'Calculate Mobile Activity Data'!A1"/><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hyperlink" Target="#'3. Calculator'!A1"/><Relationship Id="rId5" Type="http://schemas.openxmlformats.org/officeDocument/2006/relationships/hyperlink" Target="#'2. Settings'!A1"/><Relationship Id="rId4" Type="http://schemas.openxmlformats.org/officeDocument/2006/relationships/hyperlink" Target="#'1. Introduction'!A1"/></Relationships>
</file>

<file path=xl/drawings/_rels/drawing7.xml.rels><?xml version="1.0" encoding="UTF-8" standalone="yes"?>
<Relationships xmlns="http://schemas.openxmlformats.org/package/2006/relationships"><Relationship Id="rId3" Type="http://schemas.openxmlformats.org/officeDocument/2006/relationships/hyperlink" Target="#'2. Settings'!A1"/><Relationship Id="rId2" Type="http://schemas.openxmlformats.org/officeDocument/2006/relationships/hyperlink" Target="#'1. Introduction'!A1"/><Relationship Id="rId1" Type="http://schemas.openxmlformats.org/officeDocument/2006/relationships/hyperlink" Target="#'Welcome!'!A1"/><Relationship Id="rId6" Type="http://schemas.openxmlformats.org/officeDocument/2006/relationships/hyperlink" Target="#Summary!A1"/><Relationship Id="rId5" Type="http://schemas.openxmlformats.org/officeDocument/2006/relationships/hyperlink" Target="#'Calculate Mobile Activity Data'!A1"/><Relationship Id="rId4" Type="http://schemas.openxmlformats.org/officeDocument/2006/relationships/hyperlink" Target="#'3. Calculator'!A1"/></Relationships>
</file>

<file path=xl/drawings/drawing1.xml><?xml version="1.0" encoding="utf-8"?>
<xdr:wsDr xmlns:xdr="http://schemas.openxmlformats.org/drawingml/2006/spreadsheetDrawing" xmlns:a="http://schemas.openxmlformats.org/drawingml/2006/main">
  <xdr:twoCellAnchor editAs="oneCell">
    <xdr:from>
      <xdr:col>0</xdr:col>
      <xdr:colOff>361287</xdr:colOff>
      <xdr:row>0</xdr:row>
      <xdr:rowOff>57318</xdr:rowOff>
    </xdr:from>
    <xdr:to>
      <xdr:col>1</xdr:col>
      <xdr:colOff>2915892</xdr:colOff>
      <xdr:row>5</xdr:row>
      <xdr:rowOff>21504</xdr:rowOff>
    </xdr:to>
    <xdr:pic>
      <xdr:nvPicPr>
        <xdr:cNvPr id="2" name="Picture 1">
          <a:extLst>
            <a:ext uri="{FF2B5EF4-FFF2-40B4-BE49-F238E27FC236}">
              <a16:creationId xmlns:a16="http://schemas.microsoft.com/office/drawing/2014/main" id="{E2A354BB-4F87-4A85-9113-7FF45FD102EF}"/>
            </a:ext>
          </a:extLst>
        </xdr:cNvPr>
        <xdr:cNvPicPr>
          <a:picLocks noChangeAspect="1"/>
        </xdr:cNvPicPr>
      </xdr:nvPicPr>
      <xdr:blipFill>
        <a:blip xmlns:r="http://schemas.openxmlformats.org/officeDocument/2006/relationships" r:embed="rId1"/>
        <a:stretch>
          <a:fillRect/>
        </a:stretch>
      </xdr:blipFill>
      <xdr:spPr>
        <a:xfrm>
          <a:off x="361287" y="57318"/>
          <a:ext cx="2916555" cy="773811"/>
        </a:xfrm>
        <a:prstGeom prst="rect">
          <a:avLst/>
        </a:prstGeom>
      </xdr:spPr>
    </xdr:pic>
    <xdr:clientData/>
  </xdr:twoCellAnchor>
  <xdr:twoCellAnchor>
    <xdr:from>
      <xdr:col>1</xdr:col>
      <xdr:colOff>0</xdr:colOff>
      <xdr:row>6</xdr:row>
      <xdr:rowOff>85725</xdr:rowOff>
    </xdr:from>
    <xdr:to>
      <xdr:col>2</xdr:col>
      <xdr:colOff>472639</xdr:colOff>
      <xdr:row>7</xdr:row>
      <xdr:rowOff>182289</xdr:rowOff>
    </xdr:to>
    <xdr:grpSp>
      <xdr:nvGrpSpPr>
        <xdr:cNvPr id="10" name="Group 9">
          <a:extLst>
            <a:ext uri="{FF2B5EF4-FFF2-40B4-BE49-F238E27FC236}">
              <a16:creationId xmlns:a16="http://schemas.microsoft.com/office/drawing/2014/main" id="{BE7A93F4-6913-4783-BB85-A85B15BA2C07}"/>
            </a:ext>
          </a:extLst>
        </xdr:cNvPr>
        <xdr:cNvGrpSpPr/>
      </xdr:nvGrpSpPr>
      <xdr:grpSpPr>
        <a:xfrm>
          <a:off x="371475" y="1116330"/>
          <a:ext cx="9601399" cy="264204"/>
          <a:chOff x="546537" y="13137"/>
          <a:chExt cx="7099739" cy="256190"/>
        </a:xfrm>
      </xdr:grpSpPr>
      <xdr:sp macro="" textlink="">
        <xdr:nvSpPr>
          <xdr:cNvPr id="11" name="Rectangle 10">
            <a:extLst>
              <a:ext uri="{FF2B5EF4-FFF2-40B4-BE49-F238E27FC236}">
                <a16:creationId xmlns:a16="http://schemas.microsoft.com/office/drawing/2014/main" id="{6CF21B3F-FEFF-4453-4840-4A34A2A61BDF}"/>
              </a:ext>
            </a:extLst>
          </xdr:cNvPr>
          <xdr:cNvSpPr/>
        </xdr:nvSpPr>
        <xdr:spPr>
          <a:xfrm>
            <a:off x="546537" y="13137"/>
            <a:ext cx="1010308" cy="256190"/>
          </a:xfrm>
          <a:prstGeom prst="rect">
            <a:avLst/>
          </a:prstGeom>
          <a:solidFill>
            <a:srgbClr val="00ACA2"/>
          </a:solidFill>
          <a:ln w="19050">
            <a:solidFill>
              <a:srgbClr val="00ACA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solidFill>
              </a:rPr>
              <a:t>Welcome</a:t>
            </a:r>
          </a:p>
        </xdr:txBody>
      </xdr:sp>
      <xdr:sp macro="" textlink="">
        <xdr:nvSpPr>
          <xdr:cNvPr id="12" name="Rectangle 11">
            <a:hlinkClick xmlns:r="http://schemas.openxmlformats.org/officeDocument/2006/relationships" r:id="rId2"/>
            <a:extLst>
              <a:ext uri="{FF2B5EF4-FFF2-40B4-BE49-F238E27FC236}">
                <a16:creationId xmlns:a16="http://schemas.microsoft.com/office/drawing/2014/main" id="{A264C0C8-FFC3-B323-825B-EDE7590081F5}"/>
              </a:ext>
            </a:extLst>
          </xdr:cNvPr>
          <xdr:cNvSpPr/>
        </xdr:nvSpPr>
        <xdr:spPr>
          <a:xfrm>
            <a:off x="1551589" y="13137"/>
            <a:ext cx="1056290"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1. Introduction</a:t>
            </a:r>
          </a:p>
          <a:p>
            <a:pPr algn="ctr"/>
            <a:endParaRPr lang="en-US" sz="1100">
              <a:solidFill>
                <a:schemeClr val="bg1">
                  <a:lumMod val="65000"/>
                </a:schemeClr>
              </a:solidFill>
            </a:endParaRPr>
          </a:p>
        </xdr:txBody>
      </xdr:sp>
      <xdr:sp macro="" textlink="">
        <xdr:nvSpPr>
          <xdr:cNvPr id="13" name="Rectangle 12">
            <a:hlinkClick xmlns:r="http://schemas.openxmlformats.org/officeDocument/2006/relationships" r:id="rId3"/>
            <a:extLst>
              <a:ext uri="{FF2B5EF4-FFF2-40B4-BE49-F238E27FC236}">
                <a16:creationId xmlns:a16="http://schemas.microsoft.com/office/drawing/2014/main" id="{3A285862-2043-8C0D-0C74-1F1CC2112A48}"/>
              </a:ext>
            </a:extLst>
          </xdr:cNvPr>
          <xdr:cNvSpPr/>
        </xdr:nvSpPr>
        <xdr:spPr>
          <a:xfrm>
            <a:off x="2602623" y="13137"/>
            <a:ext cx="872359"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2. Settings</a:t>
            </a:r>
          </a:p>
          <a:p>
            <a:pPr algn="ctr"/>
            <a:endParaRPr lang="en-US" sz="1100">
              <a:solidFill>
                <a:schemeClr val="bg1">
                  <a:lumMod val="65000"/>
                </a:schemeClr>
              </a:solidFill>
            </a:endParaRPr>
          </a:p>
        </xdr:txBody>
      </xdr:sp>
      <xdr:sp macro="" textlink="">
        <xdr:nvSpPr>
          <xdr:cNvPr id="14" name="Rectangle 13">
            <a:hlinkClick xmlns:r="http://schemas.openxmlformats.org/officeDocument/2006/relationships" r:id="rId4"/>
            <a:extLst>
              <a:ext uri="{FF2B5EF4-FFF2-40B4-BE49-F238E27FC236}">
                <a16:creationId xmlns:a16="http://schemas.microsoft.com/office/drawing/2014/main" id="{AD35978C-07BF-B2A4-DDB8-C9412F8CEB03}"/>
              </a:ext>
            </a:extLst>
          </xdr:cNvPr>
          <xdr:cNvSpPr/>
        </xdr:nvSpPr>
        <xdr:spPr>
          <a:xfrm>
            <a:off x="3469726" y="13137"/>
            <a:ext cx="1102275"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3. Calculator</a:t>
            </a:r>
          </a:p>
          <a:p>
            <a:pPr algn="ctr"/>
            <a:endParaRPr lang="en-US" sz="1100">
              <a:solidFill>
                <a:schemeClr val="bg1">
                  <a:lumMod val="65000"/>
                </a:schemeClr>
              </a:solidFill>
            </a:endParaRPr>
          </a:p>
        </xdr:txBody>
      </xdr:sp>
      <xdr:sp macro="" textlink="">
        <xdr:nvSpPr>
          <xdr:cNvPr id="15" name="Rectangle 14">
            <a:hlinkClick xmlns:r="http://schemas.openxmlformats.org/officeDocument/2006/relationships" r:id="rId5"/>
            <a:extLst>
              <a:ext uri="{FF2B5EF4-FFF2-40B4-BE49-F238E27FC236}">
                <a16:creationId xmlns:a16="http://schemas.microsoft.com/office/drawing/2014/main" id="{71D5E380-A16A-DBBE-3D1B-B534214E2DDF}"/>
              </a:ext>
            </a:extLst>
          </xdr:cNvPr>
          <xdr:cNvSpPr/>
        </xdr:nvSpPr>
        <xdr:spPr>
          <a:xfrm>
            <a:off x="4566745" y="13137"/>
            <a:ext cx="2054774"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Calculate Mobile Activity Data</a:t>
            </a:r>
          </a:p>
        </xdr:txBody>
      </xdr:sp>
      <xdr:sp macro="" textlink="">
        <xdr:nvSpPr>
          <xdr:cNvPr id="16" name="Rectangle 15">
            <a:hlinkClick xmlns:r="http://schemas.openxmlformats.org/officeDocument/2006/relationships" r:id="rId6"/>
            <a:extLst>
              <a:ext uri="{FF2B5EF4-FFF2-40B4-BE49-F238E27FC236}">
                <a16:creationId xmlns:a16="http://schemas.microsoft.com/office/drawing/2014/main" id="{86673654-32EC-2DE1-40FE-D11CC61F7CFC}"/>
              </a:ext>
            </a:extLst>
          </xdr:cNvPr>
          <xdr:cNvSpPr/>
        </xdr:nvSpPr>
        <xdr:spPr>
          <a:xfrm>
            <a:off x="6616261" y="13137"/>
            <a:ext cx="1030015"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Summary</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518947</xdr:colOff>
      <xdr:row>4</xdr:row>
      <xdr:rowOff>26274</xdr:rowOff>
    </xdr:from>
    <xdr:to>
      <xdr:col>13</xdr:col>
      <xdr:colOff>6568</xdr:colOff>
      <xdr:row>5</xdr:row>
      <xdr:rowOff>0</xdr:rowOff>
    </xdr:to>
    <xdr:sp macro="" textlink="">
      <xdr:nvSpPr>
        <xdr:cNvPr id="3" name="Text Box 12">
          <a:extLst>
            <a:ext uri="{FF2B5EF4-FFF2-40B4-BE49-F238E27FC236}">
              <a16:creationId xmlns:a16="http://schemas.microsoft.com/office/drawing/2014/main" id="{588FF288-10F6-45CB-8C11-6CE533A163DB}"/>
            </a:ext>
          </a:extLst>
        </xdr:cNvPr>
        <xdr:cNvSpPr txBox="1">
          <a:spLocks noChangeArrowheads="1"/>
        </xdr:cNvSpPr>
      </xdr:nvSpPr>
      <xdr:spPr bwMode="auto">
        <a:xfrm>
          <a:off x="518947" y="2581602"/>
          <a:ext cx="8808983" cy="128095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n-US" sz="1200" b="1" i="0" u="none" strike="noStrike" baseline="0">
              <a:solidFill>
                <a:srgbClr val="00ACA2"/>
              </a:solidFill>
              <a:latin typeface="Arial" panose="020B0604020202020204" pitchFamily="34" charset="0"/>
              <a:cs typeface="Arial" panose="020B0604020202020204" pitchFamily="34" charset="0"/>
            </a:rPr>
            <a:t>Emission Factors</a:t>
          </a:r>
          <a:endParaRPr lang="en-US" sz="1200" b="0" i="0" u="none" strike="noStrike" baseline="0">
            <a:solidFill>
              <a:srgbClr val="00ACA2"/>
            </a:solidFill>
            <a:latin typeface="Arial" panose="020B0604020202020204" pitchFamily="34" charset="0"/>
            <a:cs typeface="Arial" panose="020B0604020202020204" pitchFamily="34" charset="0"/>
          </a:endParaRPr>
        </a:p>
        <a:p>
          <a:pPr algn="just" rtl="0"/>
          <a:r>
            <a:rPr lang="en-US" sz="1100" b="0" i="0" baseline="0">
              <a:effectLst/>
              <a:latin typeface="Arial" panose="020B0604020202020204" pitchFamily="34" charset="0"/>
              <a:ea typeface="+mn-ea"/>
              <a:cs typeface="Arial" panose="020B0604020202020204" pitchFamily="34" charset="0"/>
            </a:rPr>
            <a:t>The calculator functions based on the availability of mobile combustion default emission factors (EFs), which may vary by country, fuel type, and vehicle/engine type. Currently, separate country-specific EF sets of emission factors are only available for the United Kingdom (UK) and United States (US) in the tool. For other countries, users may select the ‘Other’ category or use a representative US or UK EF sets. The default factors for 'Other' are configured to use either global default values from  2006 IPCC Guidelines or UK- or US-specific values and will therefore lead to less accurate calculations. Users must select under </a:t>
          </a:r>
          <a:r>
            <a:rPr lang="en-US" sz="1100" b="0" i="1" baseline="0">
              <a:effectLst/>
              <a:latin typeface="Arial" panose="020B0604020202020204" pitchFamily="34" charset="0"/>
              <a:ea typeface="+mn-ea"/>
              <a:cs typeface="Arial" panose="020B0604020202020204" pitchFamily="34" charset="0"/>
            </a:rPr>
            <a:t>Settings</a:t>
          </a:r>
          <a:r>
            <a:rPr lang="en-US" sz="1100" b="0" i="0" baseline="0">
              <a:effectLst/>
              <a:latin typeface="Arial" panose="020B0604020202020204" pitchFamily="34" charset="0"/>
              <a:ea typeface="+mn-ea"/>
              <a:cs typeface="Arial" panose="020B0604020202020204" pitchFamily="34" charset="0"/>
            </a:rPr>
            <a:t> which county-specific EF set (UK or US) would be most representative for transport types not covered by the 2006 IPCC Guidelines EF set (e.g., public transport)</a:t>
          </a:r>
          <a:r>
            <a:rPr lang="en-US" sz="1100" b="1" i="0" baseline="0">
              <a:effectLst/>
              <a:latin typeface="Arial" panose="020B0604020202020204" pitchFamily="34" charset="0"/>
              <a:ea typeface="+mn-ea"/>
              <a:cs typeface="Arial" panose="020B0604020202020204" pitchFamily="34" charset="0"/>
            </a:rPr>
            <a:t>. </a:t>
          </a:r>
          <a:r>
            <a:rPr lang="en-US" sz="1100" b="0" i="0" baseline="0">
              <a:effectLst/>
              <a:latin typeface="Arial" panose="020B0604020202020204" pitchFamily="34" charset="0"/>
              <a:ea typeface="+mn-ea"/>
              <a:cs typeface="Arial" panose="020B0604020202020204" pitchFamily="34" charset="0"/>
            </a:rPr>
            <a:t>Or users may also supply their own fuel- or vehicle-specific custom emission factors.</a:t>
          </a:r>
          <a:endParaRPr lang="en-US" sz="1100">
            <a:effectLst/>
            <a:latin typeface="Arial" panose="020B0604020202020204" pitchFamily="34" charset="0"/>
            <a:cs typeface="Arial" panose="020B0604020202020204" pitchFamily="34" charset="0"/>
          </a:endParaRPr>
        </a:p>
      </xdr:txBody>
    </xdr:sp>
    <xdr:clientData/>
  </xdr:twoCellAnchor>
  <xdr:twoCellAnchor>
    <xdr:from>
      <xdr:col>0</xdr:col>
      <xdr:colOff>539968</xdr:colOff>
      <xdr:row>6</xdr:row>
      <xdr:rowOff>52551</xdr:rowOff>
    </xdr:from>
    <xdr:to>
      <xdr:col>13</xdr:col>
      <xdr:colOff>27589</xdr:colOff>
      <xdr:row>6</xdr:row>
      <xdr:rowOff>1372914</xdr:rowOff>
    </xdr:to>
    <xdr:sp macro="" textlink="">
      <xdr:nvSpPr>
        <xdr:cNvPr id="4" name="Text Box 12">
          <a:extLst>
            <a:ext uri="{FF2B5EF4-FFF2-40B4-BE49-F238E27FC236}">
              <a16:creationId xmlns:a16="http://schemas.microsoft.com/office/drawing/2014/main" id="{ADEBA1FA-0153-4502-AFF9-DEA12B76AE6D}"/>
            </a:ext>
          </a:extLst>
        </xdr:cNvPr>
        <xdr:cNvSpPr txBox="1">
          <a:spLocks noChangeArrowheads="1"/>
        </xdr:cNvSpPr>
      </xdr:nvSpPr>
      <xdr:spPr bwMode="auto">
        <a:xfrm>
          <a:off x="539968" y="3777154"/>
          <a:ext cx="8808983" cy="1320363"/>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n-US" sz="1200" b="1" i="0" u="none" strike="noStrike" baseline="0">
              <a:solidFill>
                <a:srgbClr val="00ACA2"/>
              </a:solidFill>
              <a:latin typeface="Arial"/>
              <a:ea typeface="+mn-ea"/>
              <a:cs typeface="Arial"/>
            </a:rPr>
            <a:t>What data do I need?</a:t>
          </a:r>
        </a:p>
        <a:p>
          <a:pPr rtl="0"/>
          <a:r>
            <a:rPr lang="en-US" sz="1100" b="0" i="0" baseline="0">
              <a:effectLst/>
              <a:latin typeface="Arial" panose="020B0604020202020204" pitchFamily="34" charset="0"/>
              <a:ea typeface="+mn-ea"/>
              <a:cs typeface="Arial" panose="020B0604020202020204" pitchFamily="34" charset="0"/>
            </a:rPr>
            <a:t>Fuel consumption data are generally more accurate for calculating CO</a:t>
          </a:r>
          <a:r>
            <a:rPr lang="en-US" sz="1100" b="0" i="0" baseline="-25000">
              <a:effectLst/>
              <a:latin typeface="Arial" panose="020B0604020202020204" pitchFamily="34" charset="0"/>
              <a:ea typeface="+mn-ea"/>
              <a:cs typeface="Arial" panose="020B0604020202020204" pitchFamily="34" charset="0"/>
            </a:rPr>
            <a:t>2</a:t>
          </a:r>
          <a:r>
            <a:rPr lang="en-US" sz="1100" b="0" i="0" baseline="0">
              <a:effectLst/>
              <a:latin typeface="Arial" panose="020B0604020202020204" pitchFamily="34" charset="0"/>
              <a:ea typeface="+mn-ea"/>
              <a:cs typeface="Arial" panose="020B0604020202020204" pitchFamily="34" charset="0"/>
            </a:rPr>
            <a:t> emissions, while distance-traveled data (engine and emissions technology control type) are more accurate for calculating CH</a:t>
          </a:r>
          <a:r>
            <a:rPr lang="en-US" sz="1100" b="0" i="0" baseline="-25000">
              <a:effectLst/>
              <a:latin typeface="Arial" panose="020B0604020202020204" pitchFamily="34" charset="0"/>
              <a:ea typeface="+mn-ea"/>
              <a:cs typeface="Arial" panose="020B0604020202020204" pitchFamily="34" charset="0"/>
            </a:rPr>
            <a:t>4</a:t>
          </a:r>
          <a:r>
            <a:rPr lang="en-US" sz="1100" b="0" i="0" baseline="0">
              <a:effectLst/>
              <a:latin typeface="Arial" panose="020B0604020202020204" pitchFamily="34" charset="0"/>
              <a:ea typeface="+mn-ea"/>
              <a:cs typeface="Arial" panose="020B0604020202020204" pitchFamily="34" charset="0"/>
            </a:rPr>
            <a:t> and N</a:t>
          </a:r>
          <a:r>
            <a:rPr lang="en-US" sz="1100" b="0" i="0" baseline="-25000">
              <a:effectLst/>
              <a:latin typeface="Arial" panose="020B0604020202020204" pitchFamily="34" charset="0"/>
              <a:ea typeface="+mn-ea"/>
              <a:cs typeface="Arial" panose="020B0604020202020204" pitchFamily="34" charset="0"/>
            </a:rPr>
            <a:t>2</a:t>
          </a:r>
          <a:r>
            <a:rPr lang="en-US" sz="1100" b="0" i="0" baseline="0">
              <a:effectLst/>
              <a:latin typeface="Arial" panose="020B0604020202020204" pitchFamily="34" charset="0"/>
              <a:ea typeface="+mn-ea"/>
              <a:cs typeface="Arial" panose="020B0604020202020204" pitchFamily="34" charset="0"/>
            </a:rPr>
            <a:t>O emissions. For non-public transport sources, the recommended approach is to provide </a:t>
          </a:r>
          <a:r>
            <a:rPr lang="en-US" sz="1100" b="0" i="0" u="sng" baseline="0">
              <a:effectLst/>
              <a:latin typeface="Arial" panose="020B0604020202020204" pitchFamily="34" charset="0"/>
              <a:ea typeface="+mn-ea"/>
              <a:cs typeface="Arial" panose="020B0604020202020204" pitchFamily="34" charset="0"/>
            </a:rPr>
            <a:t>both fuel use and distance data</a:t>
          </a:r>
          <a:r>
            <a:rPr lang="en-US" sz="1100" b="0" i="0" baseline="0">
              <a:effectLst/>
              <a:latin typeface="Arial" panose="020B0604020202020204" pitchFamily="34" charset="0"/>
              <a:ea typeface="+mn-ea"/>
              <a:cs typeface="Arial" panose="020B0604020202020204" pitchFamily="34" charset="0"/>
            </a:rPr>
            <a:t>. Where one type of activity data is unavailable, users should estimate distance or fuel consumption data in the </a:t>
          </a:r>
          <a:r>
            <a:rPr lang="en-US" sz="1100" b="0" i="1" u="none" baseline="0">
              <a:solidFill>
                <a:sysClr val="windowText" lastClr="000000"/>
              </a:solidFill>
              <a:effectLst/>
              <a:latin typeface="Arial" panose="020B0604020202020204" pitchFamily="34" charset="0"/>
              <a:ea typeface="+mn-ea"/>
              <a:cs typeface="Arial" panose="020B0604020202020204" pitchFamily="34" charset="0"/>
            </a:rPr>
            <a:t>Calculate Mobile Activity Data </a:t>
          </a:r>
          <a:r>
            <a:rPr lang="en-US" sz="1100" b="0" i="0" baseline="0">
              <a:effectLst/>
              <a:latin typeface="Arial" panose="020B0604020202020204" pitchFamily="34" charset="0"/>
              <a:ea typeface="+mn-ea"/>
              <a:cs typeface="Arial" panose="020B0604020202020204" pitchFamily="34" charset="0"/>
            </a:rPr>
            <a:t>tab. Given CO</a:t>
          </a:r>
          <a:r>
            <a:rPr lang="en-US" sz="1100" b="0" i="0" baseline="-25000">
              <a:effectLst/>
              <a:latin typeface="Arial" panose="020B0604020202020204" pitchFamily="34" charset="0"/>
              <a:ea typeface="+mn-ea"/>
              <a:cs typeface="Arial" panose="020B0604020202020204" pitchFamily="34" charset="0"/>
            </a:rPr>
            <a:t>2</a:t>
          </a:r>
          <a:r>
            <a:rPr lang="en-US" sz="1100" b="0" i="0" baseline="0">
              <a:effectLst/>
              <a:latin typeface="Arial" panose="020B0604020202020204" pitchFamily="34" charset="0"/>
              <a:ea typeface="+mn-ea"/>
              <a:cs typeface="Arial" panose="020B0604020202020204" pitchFamily="34" charset="0"/>
            </a:rPr>
            <a:t> contributes most to transport-related GHG emissions (&gt;95%), companies should first strive to improve their fuel consumption records. The UK EF set contains values for road vehicles on a vehicle distance basis that assumes average fuel economy values. Please note that emissions from on-road freight transport can be calculated using either vehicle distance (scope 1 and 3) or weight-distance data (scope 3).</a:t>
          </a:r>
          <a:endParaRPr lang="en-US" sz="1100">
            <a:effectLst/>
            <a:latin typeface="Arial" panose="020B0604020202020204" pitchFamily="34" charset="0"/>
            <a:cs typeface="Arial" panose="020B0604020202020204" pitchFamily="34" charset="0"/>
          </a:endParaRPr>
        </a:p>
      </xdr:txBody>
    </xdr:sp>
    <xdr:clientData/>
  </xdr:twoCellAnchor>
  <xdr:twoCellAnchor>
    <xdr:from>
      <xdr:col>1</xdr:col>
      <xdr:colOff>13136</xdr:colOff>
      <xdr:row>0</xdr:row>
      <xdr:rowOff>16093</xdr:rowOff>
    </xdr:from>
    <xdr:to>
      <xdr:col>12</xdr:col>
      <xdr:colOff>0</xdr:colOff>
      <xdr:row>1</xdr:row>
      <xdr:rowOff>55507</xdr:rowOff>
    </xdr:to>
    <xdr:grpSp>
      <xdr:nvGrpSpPr>
        <xdr:cNvPr id="21" name="Group 20">
          <a:extLst>
            <a:ext uri="{FF2B5EF4-FFF2-40B4-BE49-F238E27FC236}">
              <a16:creationId xmlns:a16="http://schemas.microsoft.com/office/drawing/2014/main" id="{F7387B9B-E12B-F066-ADCF-8DD3CF4B50CC}"/>
            </a:ext>
          </a:extLst>
        </xdr:cNvPr>
        <xdr:cNvGrpSpPr/>
      </xdr:nvGrpSpPr>
      <xdr:grpSpPr>
        <a:xfrm>
          <a:off x="502721" y="19903"/>
          <a:ext cx="10003354" cy="248964"/>
          <a:chOff x="546537" y="13137"/>
          <a:chExt cx="7099739" cy="256190"/>
        </a:xfrm>
      </xdr:grpSpPr>
      <xdr:sp macro="" textlink="">
        <xdr:nvSpPr>
          <xdr:cNvPr id="15" name="Rectangle 14">
            <a:hlinkClick xmlns:r="http://schemas.openxmlformats.org/officeDocument/2006/relationships" r:id="rId1"/>
            <a:extLst>
              <a:ext uri="{FF2B5EF4-FFF2-40B4-BE49-F238E27FC236}">
                <a16:creationId xmlns:a16="http://schemas.microsoft.com/office/drawing/2014/main" id="{7D5620BC-7C97-AE88-32C6-A7B794DDBD1E}"/>
              </a:ext>
            </a:extLst>
          </xdr:cNvPr>
          <xdr:cNvSpPr/>
        </xdr:nvSpPr>
        <xdr:spPr>
          <a:xfrm>
            <a:off x="546537" y="13137"/>
            <a:ext cx="1010308"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Welcome</a:t>
            </a:r>
          </a:p>
        </xdr:txBody>
      </xdr:sp>
      <xdr:sp macro="" textlink="">
        <xdr:nvSpPr>
          <xdr:cNvPr id="16" name="Rectangle 15">
            <a:extLst>
              <a:ext uri="{FF2B5EF4-FFF2-40B4-BE49-F238E27FC236}">
                <a16:creationId xmlns:a16="http://schemas.microsoft.com/office/drawing/2014/main" id="{F23CC5D6-D2C0-4098-B888-D88B19CCB9B4}"/>
              </a:ext>
            </a:extLst>
          </xdr:cNvPr>
          <xdr:cNvSpPr/>
        </xdr:nvSpPr>
        <xdr:spPr>
          <a:xfrm>
            <a:off x="1551589" y="13137"/>
            <a:ext cx="1056290" cy="256190"/>
          </a:xfrm>
          <a:prstGeom prst="rect">
            <a:avLst/>
          </a:prstGeom>
          <a:solidFill>
            <a:srgbClr val="00ACA2"/>
          </a:solidFill>
          <a:ln w="19050">
            <a:solidFill>
              <a:srgbClr val="00ACA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t>1. Introduction</a:t>
            </a:r>
          </a:p>
          <a:p>
            <a:pPr algn="ctr"/>
            <a:endParaRPr lang="en-US" sz="1100"/>
          </a:p>
        </xdr:txBody>
      </xdr:sp>
      <xdr:sp macro="" textlink="">
        <xdr:nvSpPr>
          <xdr:cNvPr id="17" name="Rectangle 16">
            <a:hlinkClick xmlns:r="http://schemas.openxmlformats.org/officeDocument/2006/relationships" r:id="rId2"/>
            <a:extLst>
              <a:ext uri="{FF2B5EF4-FFF2-40B4-BE49-F238E27FC236}">
                <a16:creationId xmlns:a16="http://schemas.microsoft.com/office/drawing/2014/main" id="{2E5C4D26-060E-4B99-AA43-B01E6CBECDBE}"/>
              </a:ext>
            </a:extLst>
          </xdr:cNvPr>
          <xdr:cNvSpPr/>
        </xdr:nvSpPr>
        <xdr:spPr>
          <a:xfrm>
            <a:off x="2602623" y="13137"/>
            <a:ext cx="872359"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2. Settings</a:t>
            </a:r>
          </a:p>
          <a:p>
            <a:pPr algn="ctr"/>
            <a:endParaRPr lang="en-US" sz="1100">
              <a:solidFill>
                <a:schemeClr val="bg1">
                  <a:lumMod val="65000"/>
                </a:schemeClr>
              </a:solidFill>
            </a:endParaRPr>
          </a:p>
        </xdr:txBody>
      </xdr:sp>
      <xdr:sp macro="" textlink="">
        <xdr:nvSpPr>
          <xdr:cNvPr id="18" name="Rectangle 17">
            <a:hlinkClick xmlns:r="http://schemas.openxmlformats.org/officeDocument/2006/relationships" r:id="rId3"/>
            <a:extLst>
              <a:ext uri="{FF2B5EF4-FFF2-40B4-BE49-F238E27FC236}">
                <a16:creationId xmlns:a16="http://schemas.microsoft.com/office/drawing/2014/main" id="{E198696A-57AA-4B69-8F2F-D0AD689DA9B4}"/>
              </a:ext>
            </a:extLst>
          </xdr:cNvPr>
          <xdr:cNvSpPr/>
        </xdr:nvSpPr>
        <xdr:spPr>
          <a:xfrm>
            <a:off x="3469726" y="13137"/>
            <a:ext cx="1102275"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3. Calculator</a:t>
            </a:r>
          </a:p>
          <a:p>
            <a:pPr algn="ctr"/>
            <a:endParaRPr lang="en-US" sz="1100">
              <a:solidFill>
                <a:schemeClr val="bg1">
                  <a:lumMod val="65000"/>
                </a:schemeClr>
              </a:solidFill>
            </a:endParaRPr>
          </a:p>
        </xdr:txBody>
      </xdr:sp>
      <xdr:sp macro="" textlink="">
        <xdr:nvSpPr>
          <xdr:cNvPr id="19" name="Rectangle 18">
            <a:hlinkClick xmlns:r="http://schemas.openxmlformats.org/officeDocument/2006/relationships" r:id="rId4"/>
            <a:extLst>
              <a:ext uri="{FF2B5EF4-FFF2-40B4-BE49-F238E27FC236}">
                <a16:creationId xmlns:a16="http://schemas.microsoft.com/office/drawing/2014/main" id="{164F4148-AFC6-412C-91F0-43AF60AD9BD9}"/>
              </a:ext>
            </a:extLst>
          </xdr:cNvPr>
          <xdr:cNvSpPr/>
        </xdr:nvSpPr>
        <xdr:spPr>
          <a:xfrm>
            <a:off x="4566745" y="13137"/>
            <a:ext cx="2054774"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Calculate Mobile Activity Data</a:t>
            </a:r>
          </a:p>
        </xdr:txBody>
      </xdr:sp>
      <xdr:sp macro="" textlink="">
        <xdr:nvSpPr>
          <xdr:cNvPr id="20" name="Rectangle 19">
            <a:hlinkClick xmlns:r="http://schemas.openxmlformats.org/officeDocument/2006/relationships" r:id="rId5"/>
            <a:extLst>
              <a:ext uri="{FF2B5EF4-FFF2-40B4-BE49-F238E27FC236}">
                <a16:creationId xmlns:a16="http://schemas.microsoft.com/office/drawing/2014/main" id="{0C7E3B59-0B30-4170-BA68-77C8A9C242FD}"/>
              </a:ext>
            </a:extLst>
          </xdr:cNvPr>
          <xdr:cNvSpPr/>
        </xdr:nvSpPr>
        <xdr:spPr>
          <a:xfrm>
            <a:off x="6616261" y="13137"/>
            <a:ext cx="1030015"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Summary</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xdr:colOff>
      <xdr:row>0</xdr:row>
      <xdr:rowOff>12481</xdr:rowOff>
    </xdr:from>
    <xdr:to>
      <xdr:col>7</xdr:col>
      <xdr:colOff>1009650</xdr:colOff>
      <xdr:row>1</xdr:row>
      <xdr:rowOff>106746</xdr:rowOff>
    </xdr:to>
    <xdr:grpSp>
      <xdr:nvGrpSpPr>
        <xdr:cNvPr id="2" name="Group 1">
          <a:extLst>
            <a:ext uri="{FF2B5EF4-FFF2-40B4-BE49-F238E27FC236}">
              <a16:creationId xmlns:a16="http://schemas.microsoft.com/office/drawing/2014/main" id="{96401782-6CC3-4E7E-AAB0-160A3EC2F035}"/>
            </a:ext>
          </a:extLst>
        </xdr:cNvPr>
        <xdr:cNvGrpSpPr/>
      </xdr:nvGrpSpPr>
      <xdr:grpSpPr>
        <a:xfrm>
          <a:off x="601980" y="16291"/>
          <a:ext cx="9433560" cy="260000"/>
          <a:chOff x="546537" y="13137"/>
          <a:chExt cx="7099739" cy="256190"/>
        </a:xfrm>
      </xdr:grpSpPr>
      <xdr:sp macro="" textlink="">
        <xdr:nvSpPr>
          <xdr:cNvPr id="4" name="Rectangle 3">
            <a:hlinkClick xmlns:r="http://schemas.openxmlformats.org/officeDocument/2006/relationships" r:id="rId1"/>
            <a:extLst>
              <a:ext uri="{FF2B5EF4-FFF2-40B4-BE49-F238E27FC236}">
                <a16:creationId xmlns:a16="http://schemas.microsoft.com/office/drawing/2014/main" id="{73AB1541-DA08-A4FF-D4DC-EE98566CF309}"/>
              </a:ext>
            </a:extLst>
          </xdr:cNvPr>
          <xdr:cNvSpPr/>
        </xdr:nvSpPr>
        <xdr:spPr>
          <a:xfrm>
            <a:off x="546537" y="13137"/>
            <a:ext cx="1010308"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Welcome</a:t>
            </a:r>
          </a:p>
        </xdr:txBody>
      </xdr:sp>
      <xdr:sp macro="" textlink="">
        <xdr:nvSpPr>
          <xdr:cNvPr id="5" name="Rectangle 4">
            <a:hlinkClick xmlns:r="http://schemas.openxmlformats.org/officeDocument/2006/relationships" r:id="rId2"/>
            <a:extLst>
              <a:ext uri="{FF2B5EF4-FFF2-40B4-BE49-F238E27FC236}">
                <a16:creationId xmlns:a16="http://schemas.microsoft.com/office/drawing/2014/main" id="{4E01532A-5770-212B-D0DE-35D162CB0480}"/>
              </a:ext>
            </a:extLst>
          </xdr:cNvPr>
          <xdr:cNvSpPr/>
        </xdr:nvSpPr>
        <xdr:spPr>
          <a:xfrm>
            <a:off x="1551589" y="13137"/>
            <a:ext cx="1056290"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1. Introduction</a:t>
            </a:r>
          </a:p>
          <a:p>
            <a:pPr algn="ctr"/>
            <a:endParaRPr lang="en-US" sz="1100"/>
          </a:p>
        </xdr:txBody>
      </xdr:sp>
      <xdr:sp macro="" textlink="">
        <xdr:nvSpPr>
          <xdr:cNvPr id="6" name="Rectangle 5">
            <a:extLst>
              <a:ext uri="{FF2B5EF4-FFF2-40B4-BE49-F238E27FC236}">
                <a16:creationId xmlns:a16="http://schemas.microsoft.com/office/drawing/2014/main" id="{BE060988-19D6-4041-6667-F5CC432BEE92}"/>
              </a:ext>
            </a:extLst>
          </xdr:cNvPr>
          <xdr:cNvSpPr/>
        </xdr:nvSpPr>
        <xdr:spPr>
          <a:xfrm>
            <a:off x="2602623" y="13137"/>
            <a:ext cx="872359" cy="256190"/>
          </a:xfrm>
          <a:prstGeom prst="rect">
            <a:avLst/>
          </a:prstGeom>
          <a:solidFill>
            <a:srgbClr val="00ACA2"/>
          </a:solidFill>
          <a:ln w="19050">
            <a:solidFill>
              <a:srgbClr val="00ACA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solidFill>
              </a:rPr>
              <a:t>2. Settings</a:t>
            </a:r>
          </a:p>
          <a:p>
            <a:pPr algn="ctr"/>
            <a:endParaRPr lang="en-US" sz="1100">
              <a:solidFill>
                <a:schemeClr val="bg1"/>
              </a:solidFill>
            </a:endParaRPr>
          </a:p>
        </xdr:txBody>
      </xdr:sp>
      <xdr:sp macro="" textlink="">
        <xdr:nvSpPr>
          <xdr:cNvPr id="7" name="Rectangle 6">
            <a:hlinkClick xmlns:r="http://schemas.openxmlformats.org/officeDocument/2006/relationships" r:id="rId3"/>
            <a:extLst>
              <a:ext uri="{FF2B5EF4-FFF2-40B4-BE49-F238E27FC236}">
                <a16:creationId xmlns:a16="http://schemas.microsoft.com/office/drawing/2014/main" id="{6D620293-74F8-AE40-4043-4E229B5A3F14}"/>
              </a:ext>
            </a:extLst>
          </xdr:cNvPr>
          <xdr:cNvSpPr/>
        </xdr:nvSpPr>
        <xdr:spPr>
          <a:xfrm>
            <a:off x="3469726" y="13137"/>
            <a:ext cx="1102275"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3. Calculator</a:t>
            </a:r>
          </a:p>
          <a:p>
            <a:pPr algn="ctr"/>
            <a:endParaRPr lang="en-US" sz="1100">
              <a:solidFill>
                <a:schemeClr val="bg1">
                  <a:lumMod val="65000"/>
                </a:schemeClr>
              </a:solidFill>
            </a:endParaRPr>
          </a:p>
        </xdr:txBody>
      </xdr:sp>
      <xdr:sp macro="" textlink="">
        <xdr:nvSpPr>
          <xdr:cNvPr id="8" name="Rectangle 7">
            <a:hlinkClick xmlns:r="http://schemas.openxmlformats.org/officeDocument/2006/relationships" r:id="rId4"/>
            <a:extLst>
              <a:ext uri="{FF2B5EF4-FFF2-40B4-BE49-F238E27FC236}">
                <a16:creationId xmlns:a16="http://schemas.microsoft.com/office/drawing/2014/main" id="{9647C202-DC6A-31AB-3B22-A3A429FB0E52}"/>
              </a:ext>
            </a:extLst>
          </xdr:cNvPr>
          <xdr:cNvSpPr/>
        </xdr:nvSpPr>
        <xdr:spPr>
          <a:xfrm>
            <a:off x="4566745" y="13137"/>
            <a:ext cx="2054774"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Calculate Mobile Activity Data</a:t>
            </a:r>
          </a:p>
        </xdr:txBody>
      </xdr:sp>
      <xdr:sp macro="" textlink="">
        <xdr:nvSpPr>
          <xdr:cNvPr id="9" name="Rectangle 8">
            <a:hlinkClick xmlns:r="http://schemas.openxmlformats.org/officeDocument/2006/relationships" r:id="rId5"/>
            <a:extLst>
              <a:ext uri="{FF2B5EF4-FFF2-40B4-BE49-F238E27FC236}">
                <a16:creationId xmlns:a16="http://schemas.microsoft.com/office/drawing/2014/main" id="{8B3055FD-B138-6DA2-F271-DDB00ED3D495}"/>
              </a:ext>
            </a:extLst>
          </xdr:cNvPr>
          <xdr:cNvSpPr/>
        </xdr:nvSpPr>
        <xdr:spPr>
          <a:xfrm>
            <a:off x="6616261" y="13137"/>
            <a:ext cx="1030015"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Summary</a:t>
            </a:r>
          </a:p>
        </xdr:txBody>
      </xdr:sp>
    </xdr:grpSp>
    <xdr:clientData/>
  </xdr:twoCellAnchor>
  <xdr:twoCellAnchor editAs="oneCell">
    <xdr:from>
      <xdr:col>0</xdr:col>
      <xdr:colOff>66675</xdr:colOff>
      <xdr:row>2</xdr:row>
      <xdr:rowOff>57150</xdr:rowOff>
    </xdr:from>
    <xdr:to>
      <xdr:col>0</xdr:col>
      <xdr:colOff>552450</xdr:colOff>
      <xdr:row>4</xdr:row>
      <xdr:rowOff>309068</xdr:rowOff>
    </xdr:to>
    <xdr:pic>
      <xdr:nvPicPr>
        <xdr:cNvPr id="3" name="Picture 2">
          <a:extLst>
            <a:ext uri="{FF2B5EF4-FFF2-40B4-BE49-F238E27FC236}">
              <a16:creationId xmlns:a16="http://schemas.microsoft.com/office/drawing/2014/main" id="{46697BAD-C3CF-42C3-9F7B-6509BF2CE381}"/>
            </a:ext>
          </a:extLst>
        </xdr:cNvPr>
        <xdr:cNvPicPr>
          <a:picLocks noChangeAspect="1"/>
        </xdr:cNvPicPr>
      </xdr:nvPicPr>
      <xdr:blipFill rotWithShape="1">
        <a:blip xmlns:r="http://schemas.openxmlformats.org/officeDocument/2006/relationships" r:embed="rId6"/>
        <a:srcRect l="22763" r="24468"/>
        <a:stretch/>
      </xdr:blipFill>
      <xdr:spPr>
        <a:xfrm>
          <a:off x="66675" y="381000"/>
          <a:ext cx="485775" cy="890093"/>
        </a:xfrm>
        <a:prstGeom prst="rect">
          <a:avLst/>
        </a:prstGeom>
      </xdr:spPr>
    </xdr:pic>
    <xdr:clientData/>
  </xdr:twoCellAnchor>
  <xdr:twoCellAnchor editAs="oneCell">
    <xdr:from>
      <xdr:col>0</xdr:col>
      <xdr:colOff>95250</xdr:colOff>
      <xdr:row>7</xdr:row>
      <xdr:rowOff>9525</xdr:rowOff>
    </xdr:from>
    <xdr:to>
      <xdr:col>1</xdr:col>
      <xdr:colOff>177626</xdr:colOff>
      <xdr:row>9</xdr:row>
      <xdr:rowOff>309068</xdr:rowOff>
    </xdr:to>
    <xdr:pic>
      <xdr:nvPicPr>
        <xdr:cNvPr id="10" name="Picture 9">
          <a:extLst>
            <a:ext uri="{FF2B5EF4-FFF2-40B4-BE49-F238E27FC236}">
              <a16:creationId xmlns:a16="http://schemas.microsoft.com/office/drawing/2014/main" id="{F6B8DE30-C3FF-4998-B983-28C5CAAA89E2}"/>
            </a:ext>
          </a:extLst>
        </xdr:cNvPr>
        <xdr:cNvPicPr>
          <a:picLocks noChangeAspect="1"/>
        </xdr:cNvPicPr>
      </xdr:nvPicPr>
      <xdr:blipFill rotWithShape="1">
        <a:blip xmlns:r="http://schemas.openxmlformats.org/officeDocument/2006/relationships" r:embed="rId7"/>
        <a:srcRect l="28971"/>
        <a:stretch/>
      </xdr:blipFill>
      <xdr:spPr>
        <a:xfrm>
          <a:off x="95250" y="2390775"/>
          <a:ext cx="653876" cy="890093"/>
        </a:xfrm>
        <a:prstGeom prst="rect">
          <a:avLst/>
        </a:prstGeom>
      </xdr:spPr>
    </xdr:pic>
    <xdr:clientData/>
  </xdr:twoCellAnchor>
  <xdr:twoCellAnchor editAs="oneCell">
    <xdr:from>
      <xdr:col>0</xdr:col>
      <xdr:colOff>104775</xdr:colOff>
      <xdr:row>12</xdr:row>
      <xdr:rowOff>38100</xdr:rowOff>
    </xdr:from>
    <xdr:to>
      <xdr:col>1</xdr:col>
      <xdr:colOff>187151</xdr:colOff>
      <xdr:row>14</xdr:row>
      <xdr:rowOff>347168</xdr:rowOff>
    </xdr:to>
    <xdr:pic>
      <xdr:nvPicPr>
        <xdr:cNvPr id="11" name="Picture 10">
          <a:extLst>
            <a:ext uri="{FF2B5EF4-FFF2-40B4-BE49-F238E27FC236}">
              <a16:creationId xmlns:a16="http://schemas.microsoft.com/office/drawing/2014/main" id="{465A300C-19C2-4A6A-9748-7C9843973F04}"/>
            </a:ext>
          </a:extLst>
        </xdr:cNvPr>
        <xdr:cNvPicPr>
          <a:picLocks noChangeAspect="1"/>
        </xdr:cNvPicPr>
      </xdr:nvPicPr>
      <xdr:blipFill rotWithShape="1">
        <a:blip xmlns:r="http://schemas.openxmlformats.org/officeDocument/2006/relationships" r:embed="rId8"/>
        <a:srcRect l="28971"/>
        <a:stretch/>
      </xdr:blipFill>
      <xdr:spPr>
        <a:xfrm>
          <a:off x="104775" y="4476750"/>
          <a:ext cx="653876" cy="890093"/>
        </a:xfrm>
        <a:prstGeom prst="rect">
          <a:avLst/>
        </a:prstGeom>
      </xdr:spPr>
    </xdr:pic>
    <xdr:clientData/>
  </xdr:twoCellAnchor>
  <xdr:twoCellAnchor editAs="oneCell">
    <xdr:from>
      <xdr:col>0</xdr:col>
      <xdr:colOff>47624</xdr:colOff>
      <xdr:row>33</xdr:row>
      <xdr:rowOff>38100</xdr:rowOff>
    </xdr:from>
    <xdr:to>
      <xdr:col>1</xdr:col>
      <xdr:colOff>158575</xdr:colOff>
      <xdr:row>35</xdr:row>
      <xdr:rowOff>309068</xdr:rowOff>
    </xdr:to>
    <xdr:pic>
      <xdr:nvPicPr>
        <xdr:cNvPr id="12" name="Picture 11">
          <a:extLst>
            <a:ext uri="{FF2B5EF4-FFF2-40B4-BE49-F238E27FC236}">
              <a16:creationId xmlns:a16="http://schemas.microsoft.com/office/drawing/2014/main" id="{915725C6-5B34-4D22-B137-1183D1D882C4}"/>
            </a:ext>
          </a:extLst>
        </xdr:cNvPr>
        <xdr:cNvPicPr>
          <a:picLocks noChangeAspect="1"/>
        </xdr:cNvPicPr>
      </xdr:nvPicPr>
      <xdr:blipFill rotWithShape="1">
        <a:blip xmlns:r="http://schemas.openxmlformats.org/officeDocument/2006/relationships" r:embed="rId9"/>
        <a:srcRect l="25867"/>
        <a:stretch/>
      </xdr:blipFill>
      <xdr:spPr>
        <a:xfrm>
          <a:off x="47624" y="10801350"/>
          <a:ext cx="682451" cy="89009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42275</xdr:colOff>
      <xdr:row>2</xdr:row>
      <xdr:rowOff>125744</xdr:rowOff>
    </xdr:from>
    <xdr:to>
      <xdr:col>6</xdr:col>
      <xdr:colOff>1308650</xdr:colOff>
      <xdr:row>3</xdr:row>
      <xdr:rowOff>552450</xdr:rowOff>
    </xdr:to>
    <xdr:sp macro="" textlink="">
      <xdr:nvSpPr>
        <xdr:cNvPr id="3" name="Rectangle 2">
          <a:extLst>
            <a:ext uri="{FF2B5EF4-FFF2-40B4-BE49-F238E27FC236}">
              <a16:creationId xmlns:a16="http://schemas.microsoft.com/office/drawing/2014/main" id="{DBFE892D-6233-48A0-BCBE-26BDE056C089}"/>
            </a:ext>
          </a:extLst>
        </xdr:cNvPr>
        <xdr:cNvSpPr/>
      </xdr:nvSpPr>
      <xdr:spPr>
        <a:xfrm>
          <a:off x="1061036" y="399070"/>
          <a:ext cx="7155310" cy="129638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3600">
            <a:solidFill>
              <a:srgbClr val="00ACA2"/>
            </a:solidFill>
            <a:sym typeface="Wingdings" panose="05000000000000000000" pitchFamily="2" charset="2"/>
          </a:endParaRPr>
        </a:p>
        <a:p>
          <a:pPr algn="l"/>
          <a:r>
            <a:rPr lang="en-US" sz="1800">
              <a:solidFill>
                <a:srgbClr val="00ACA2"/>
              </a:solidFill>
              <a:sym typeface="Wingdings" panose="05000000000000000000" pitchFamily="2" charset="2"/>
            </a:rPr>
            <a:t>First,</a:t>
          </a:r>
          <a:r>
            <a:rPr lang="en-US" sz="1800" baseline="0">
              <a:solidFill>
                <a:srgbClr val="00ACA2"/>
              </a:solidFill>
              <a:sym typeface="Wingdings" panose="05000000000000000000" pitchFamily="2" charset="2"/>
            </a:rPr>
            <a:t> s</a:t>
          </a:r>
          <a:r>
            <a:rPr lang="en-US" sz="1800">
              <a:solidFill>
                <a:srgbClr val="00ACA2"/>
              </a:solidFill>
              <a:sym typeface="Wingdings" panose="05000000000000000000" pitchFamily="2" charset="2"/>
            </a:rPr>
            <a:t>elect EF Dataset and</a:t>
          </a:r>
          <a:r>
            <a:rPr lang="en-US" sz="1800" baseline="0">
              <a:solidFill>
                <a:srgbClr val="00ACA2"/>
              </a:solidFill>
              <a:sym typeface="Wingdings" panose="05000000000000000000" pitchFamily="2" charset="2"/>
            </a:rPr>
            <a:t> mode of transport for which emissions will be calculated. Second, select scope and type of activity data.</a:t>
          </a:r>
        </a:p>
      </xdr:txBody>
    </xdr:sp>
    <xdr:clientData/>
  </xdr:twoCellAnchor>
  <xdr:twoCellAnchor>
    <xdr:from>
      <xdr:col>15</xdr:col>
      <xdr:colOff>168724</xdr:colOff>
      <xdr:row>2</xdr:row>
      <xdr:rowOff>68035</xdr:rowOff>
    </xdr:from>
    <xdr:to>
      <xdr:col>19</xdr:col>
      <xdr:colOff>1016453</xdr:colOff>
      <xdr:row>4</xdr:row>
      <xdr:rowOff>0</xdr:rowOff>
    </xdr:to>
    <xdr:sp macro="" textlink="">
      <xdr:nvSpPr>
        <xdr:cNvPr id="5" name="Rectangle 4">
          <a:extLst>
            <a:ext uri="{FF2B5EF4-FFF2-40B4-BE49-F238E27FC236}">
              <a16:creationId xmlns:a16="http://schemas.microsoft.com/office/drawing/2014/main" id="{18672CE9-9B8E-4F88-A337-5BD129018A42}"/>
            </a:ext>
          </a:extLst>
        </xdr:cNvPr>
        <xdr:cNvSpPr/>
      </xdr:nvSpPr>
      <xdr:spPr>
        <a:xfrm>
          <a:off x="17418499" y="334735"/>
          <a:ext cx="5705479" cy="136071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3600">
            <a:solidFill>
              <a:srgbClr val="00ACA2"/>
            </a:solidFill>
            <a:sym typeface="Wingdings" panose="05000000000000000000" pitchFamily="2" charset="2"/>
          </a:endParaRPr>
        </a:p>
        <a:p>
          <a:pPr algn="l"/>
          <a:r>
            <a:rPr lang="en-US" sz="1800">
              <a:solidFill>
                <a:srgbClr val="00ACA2"/>
              </a:solidFill>
            </a:rPr>
            <a:t>Review and</a:t>
          </a:r>
          <a:r>
            <a:rPr lang="en-US" sz="1800" baseline="0">
              <a:solidFill>
                <a:srgbClr val="00ACA2"/>
              </a:solidFill>
            </a:rPr>
            <a:t> document </a:t>
          </a:r>
          <a:r>
            <a:rPr lang="en-US" sz="1800">
              <a:solidFill>
                <a:srgbClr val="00ACA2"/>
              </a:solidFill>
            </a:rPr>
            <a:t>total GHG emissions by source. At the end of the table, locate total GHG emissions across all sources.</a:t>
          </a:r>
        </a:p>
      </xdr:txBody>
    </xdr:sp>
    <xdr:clientData/>
  </xdr:twoCellAnchor>
  <xdr:twoCellAnchor>
    <xdr:from>
      <xdr:col>22</xdr:col>
      <xdr:colOff>33615</xdr:colOff>
      <xdr:row>2</xdr:row>
      <xdr:rowOff>572300</xdr:rowOff>
    </xdr:from>
    <xdr:to>
      <xdr:col>26</xdr:col>
      <xdr:colOff>0</xdr:colOff>
      <xdr:row>4</xdr:row>
      <xdr:rowOff>123265</xdr:rowOff>
    </xdr:to>
    <xdr:sp macro="" textlink="">
      <xdr:nvSpPr>
        <xdr:cNvPr id="6" name="Rectangle 5">
          <a:extLst>
            <a:ext uri="{FF2B5EF4-FFF2-40B4-BE49-F238E27FC236}">
              <a16:creationId xmlns:a16="http://schemas.microsoft.com/office/drawing/2014/main" id="{F71E8E14-2D69-4E65-9838-55C9D206D895}"/>
            </a:ext>
          </a:extLst>
        </xdr:cNvPr>
        <xdr:cNvSpPr/>
      </xdr:nvSpPr>
      <xdr:spPr>
        <a:xfrm>
          <a:off x="26541690" y="839000"/>
          <a:ext cx="4071660" cy="97971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800">
              <a:solidFill>
                <a:srgbClr val="00ACA2"/>
              </a:solidFill>
            </a:rPr>
            <a:t>Review and document emission factors applied by source per GHG. </a:t>
          </a:r>
        </a:p>
      </xdr:txBody>
    </xdr:sp>
    <xdr:clientData/>
  </xdr:twoCellAnchor>
  <xdr:twoCellAnchor>
    <xdr:from>
      <xdr:col>7</xdr:col>
      <xdr:colOff>82924</xdr:colOff>
      <xdr:row>2</xdr:row>
      <xdr:rowOff>131109</xdr:rowOff>
    </xdr:from>
    <xdr:to>
      <xdr:col>14</xdr:col>
      <xdr:colOff>581026</xdr:colOff>
      <xdr:row>3</xdr:row>
      <xdr:rowOff>400049</xdr:rowOff>
    </xdr:to>
    <xdr:sp macro="" textlink="">
      <xdr:nvSpPr>
        <xdr:cNvPr id="7" name="Rectangle 6">
          <a:extLst>
            <a:ext uri="{FF2B5EF4-FFF2-40B4-BE49-F238E27FC236}">
              <a16:creationId xmlns:a16="http://schemas.microsoft.com/office/drawing/2014/main" id="{9DA65514-C9D5-484B-80A0-2B4BFD3B9C27}"/>
            </a:ext>
          </a:extLst>
        </xdr:cNvPr>
        <xdr:cNvSpPr/>
      </xdr:nvSpPr>
      <xdr:spPr>
        <a:xfrm>
          <a:off x="7843728" y="462413"/>
          <a:ext cx="8399711" cy="1138614"/>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3600">
              <a:solidFill>
                <a:srgbClr val="00ACA2"/>
              </a:solidFill>
              <a:sym typeface="Wingdings" panose="05000000000000000000" pitchFamily="2" charset="2"/>
            </a:rPr>
            <a:t> </a:t>
          </a:r>
        </a:p>
        <a:p>
          <a:pPr algn="l"/>
          <a:r>
            <a:rPr lang="en-US" sz="1800">
              <a:solidFill>
                <a:srgbClr val="00ACA2"/>
              </a:solidFill>
            </a:rPr>
            <a:t>Enter Activity Data and select appropriate unit of measurement.</a:t>
          </a:r>
        </a:p>
      </xdr:txBody>
    </xdr:sp>
    <xdr:clientData/>
  </xdr:twoCellAnchor>
  <xdr:twoCellAnchor>
    <xdr:from>
      <xdr:col>0</xdr:col>
      <xdr:colOff>560295</xdr:colOff>
      <xdr:row>0</xdr:row>
      <xdr:rowOff>11360</xdr:rowOff>
    </xdr:from>
    <xdr:to>
      <xdr:col>8</xdr:col>
      <xdr:colOff>47626</xdr:colOff>
      <xdr:row>2</xdr:row>
      <xdr:rowOff>1716</xdr:rowOff>
    </xdr:to>
    <xdr:grpSp>
      <xdr:nvGrpSpPr>
        <xdr:cNvPr id="2" name="Group 1">
          <a:extLst>
            <a:ext uri="{FF2B5EF4-FFF2-40B4-BE49-F238E27FC236}">
              <a16:creationId xmlns:a16="http://schemas.microsoft.com/office/drawing/2014/main" id="{D313944E-7072-4F9B-ADFA-B67AC7388F35}"/>
            </a:ext>
          </a:extLst>
        </xdr:cNvPr>
        <xdr:cNvGrpSpPr/>
      </xdr:nvGrpSpPr>
      <xdr:grpSpPr>
        <a:xfrm>
          <a:off x="558390" y="13265"/>
          <a:ext cx="9530491" cy="255151"/>
          <a:chOff x="546537" y="13137"/>
          <a:chExt cx="7099739" cy="256190"/>
        </a:xfrm>
      </xdr:grpSpPr>
      <xdr:sp macro="" textlink="">
        <xdr:nvSpPr>
          <xdr:cNvPr id="8" name="Rectangle 7">
            <a:hlinkClick xmlns:r="http://schemas.openxmlformats.org/officeDocument/2006/relationships" r:id="rId1"/>
            <a:extLst>
              <a:ext uri="{FF2B5EF4-FFF2-40B4-BE49-F238E27FC236}">
                <a16:creationId xmlns:a16="http://schemas.microsoft.com/office/drawing/2014/main" id="{62A2CE5C-F84C-3138-6362-1A19CC0A1A78}"/>
              </a:ext>
            </a:extLst>
          </xdr:cNvPr>
          <xdr:cNvSpPr/>
        </xdr:nvSpPr>
        <xdr:spPr>
          <a:xfrm>
            <a:off x="546537" y="13137"/>
            <a:ext cx="1010308"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Welcome</a:t>
            </a:r>
          </a:p>
        </xdr:txBody>
      </xdr:sp>
      <xdr:sp macro="" textlink="">
        <xdr:nvSpPr>
          <xdr:cNvPr id="9" name="Rectangle 8">
            <a:hlinkClick xmlns:r="http://schemas.openxmlformats.org/officeDocument/2006/relationships" r:id="rId2"/>
            <a:extLst>
              <a:ext uri="{FF2B5EF4-FFF2-40B4-BE49-F238E27FC236}">
                <a16:creationId xmlns:a16="http://schemas.microsoft.com/office/drawing/2014/main" id="{81A48E70-0307-77B8-27B0-5A326ECBAD6A}"/>
              </a:ext>
            </a:extLst>
          </xdr:cNvPr>
          <xdr:cNvSpPr/>
        </xdr:nvSpPr>
        <xdr:spPr>
          <a:xfrm>
            <a:off x="1551589" y="13137"/>
            <a:ext cx="1056290"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1. Introduction</a:t>
            </a:r>
          </a:p>
          <a:p>
            <a:pPr algn="ctr"/>
            <a:endParaRPr lang="en-US" sz="1100"/>
          </a:p>
        </xdr:txBody>
      </xdr:sp>
      <xdr:sp macro="" textlink="">
        <xdr:nvSpPr>
          <xdr:cNvPr id="10" name="Rectangle 9">
            <a:hlinkClick xmlns:r="http://schemas.openxmlformats.org/officeDocument/2006/relationships" r:id="rId3"/>
            <a:extLst>
              <a:ext uri="{FF2B5EF4-FFF2-40B4-BE49-F238E27FC236}">
                <a16:creationId xmlns:a16="http://schemas.microsoft.com/office/drawing/2014/main" id="{9A5C1D54-C550-E03C-676A-36B34BB2D495}"/>
              </a:ext>
            </a:extLst>
          </xdr:cNvPr>
          <xdr:cNvSpPr/>
        </xdr:nvSpPr>
        <xdr:spPr>
          <a:xfrm>
            <a:off x="2602623" y="13137"/>
            <a:ext cx="872359"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2. Settings</a:t>
            </a:r>
          </a:p>
          <a:p>
            <a:pPr algn="ctr"/>
            <a:endParaRPr lang="en-US" sz="1100">
              <a:solidFill>
                <a:schemeClr val="bg1"/>
              </a:solidFill>
            </a:endParaRPr>
          </a:p>
        </xdr:txBody>
      </xdr:sp>
      <xdr:sp macro="" textlink="">
        <xdr:nvSpPr>
          <xdr:cNvPr id="11" name="Rectangle 10">
            <a:hlinkClick xmlns:r="http://schemas.openxmlformats.org/officeDocument/2006/relationships" r:id="rId4"/>
            <a:extLst>
              <a:ext uri="{FF2B5EF4-FFF2-40B4-BE49-F238E27FC236}">
                <a16:creationId xmlns:a16="http://schemas.microsoft.com/office/drawing/2014/main" id="{A845CBEE-1BC5-933A-856C-9A19A87264BF}"/>
              </a:ext>
            </a:extLst>
          </xdr:cNvPr>
          <xdr:cNvSpPr/>
        </xdr:nvSpPr>
        <xdr:spPr>
          <a:xfrm>
            <a:off x="3469726" y="13137"/>
            <a:ext cx="1102275" cy="256190"/>
          </a:xfrm>
          <a:prstGeom prst="rect">
            <a:avLst/>
          </a:prstGeom>
          <a:solidFill>
            <a:srgbClr val="00ACA2"/>
          </a:solidFill>
          <a:ln w="19050">
            <a:solidFill>
              <a:srgbClr val="00ACA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solidFill>
              </a:rPr>
              <a:t>3. Calculator</a:t>
            </a:r>
          </a:p>
          <a:p>
            <a:pPr algn="ctr"/>
            <a:endParaRPr lang="en-US" sz="1100">
              <a:solidFill>
                <a:schemeClr val="bg1">
                  <a:lumMod val="65000"/>
                </a:schemeClr>
              </a:solidFill>
            </a:endParaRPr>
          </a:p>
        </xdr:txBody>
      </xdr:sp>
      <xdr:sp macro="" textlink="">
        <xdr:nvSpPr>
          <xdr:cNvPr id="12" name="Rectangle 11">
            <a:hlinkClick xmlns:r="http://schemas.openxmlformats.org/officeDocument/2006/relationships" r:id="rId5"/>
            <a:extLst>
              <a:ext uri="{FF2B5EF4-FFF2-40B4-BE49-F238E27FC236}">
                <a16:creationId xmlns:a16="http://schemas.microsoft.com/office/drawing/2014/main" id="{AC7C02F0-DD2D-E316-A838-3249AD17D43F}"/>
              </a:ext>
            </a:extLst>
          </xdr:cNvPr>
          <xdr:cNvSpPr/>
        </xdr:nvSpPr>
        <xdr:spPr>
          <a:xfrm>
            <a:off x="4566745" y="13137"/>
            <a:ext cx="2054774"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Calculate Mobile Activity Data</a:t>
            </a:r>
          </a:p>
        </xdr:txBody>
      </xdr:sp>
      <xdr:sp macro="" textlink="">
        <xdr:nvSpPr>
          <xdr:cNvPr id="13" name="Rectangle 12">
            <a:hlinkClick xmlns:r="http://schemas.openxmlformats.org/officeDocument/2006/relationships" r:id="rId6"/>
            <a:extLst>
              <a:ext uri="{FF2B5EF4-FFF2-40B4-BE49-F238E27FC236}">
                <a16:creationId xmlns:a16="http://schemas.microsoft.com/office/drawing/2014/main" id="{74274435-0ADD-D3B7-909C-359FBED93B3D}"/>
              </a:ext>
            </a:extLst>
          </xdr:cNvPr>
          <xdr:cNvSpPr/>
        </xdr:nvSpPr>
        <xdr:spPr>
          <a:xfrm>
            <a:off x="6616261" y="13137"/>
            <a:ext cx="1030015"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Summary</a:t>
            </a:r>
          </a:p>
        </xdr:txBody>
      </xdr:sp>
    </xdr:grpSp>
    <xdr:clientData/>
  </xdr:twoCellAnchor>
  <xdr:twoCellAnchor editAs="oneCell">
    <xdr:from>
      <xdr:col>0</xdr:col>
      <xdr:colOff>857250</xdr:colOff>
      <xdr:row>2</xdr:row>
      <xdr:rowOff>142875</xdr:rowOff>
    </xdr:from>
    <xdr:to>
      <xdr:col>1</xdr:col>
      <xdr:colOff>758651</xdr:colOff>
      <xdr:row>3</xdr:row>
      <xdr:rowOff>166193</xdr:rowOff>
    </xdr:to>
    <xdr:pic>
      <xdr:nvPicPr>
        <xdr:cNvPr id="4" name="Picture 3">
          <a:extLst>
            <a:ext uri="{FF2B5EF4-FFF2-40B4-BE49-F238E27FC236}">
              <a16:creationId xmlns:a16="http://schemas.microsoft.com/office/drawing/2014/main" id="{E54ECC96-24AC-BDE2-79FA-60B87A91A0D7}"/>
            </a:ext>
          </a:extLst>
        </xdr:cNvPr>
        <xdr:cNvPicPr>
          <a:picLocks noChangeAspect="1"/>
        </xdr:cNvPicPr>
      </xdr:nvPicPr>
      <xdr:blipFill>
        <a:blip xmlns:r="http://schemas.openxmlformats.org/officeDocument/2006/relationships" r:embed="rId7"/>
        <a:stretch>
          <a:fillRect/>
        </a:stretch>
      </xdr:blipFill>
      <xdr:spPr>
        <a:xfrm>
          <a:off x="857250" y="409575"/>
          <a:ext cx="920576" cy="890093"/>
        </a:xfrm>
        <a:prstGeom prst="rect">
          <a:avLst/>
        </a:prstGeom>
      </xdr:spPr>
    </xdr:pic>
    <xdr:clientData/>
  </xdr:twoCellAnchor>
  <xdr:twoCellAnchor editAs="oneCell">
    <xdr:from>
      <xdr:col>6</xdr:col>
      <xdr:colOff>1695450</xdr:colOff>
      <xdr:row>2</xdr:row>
      <xdr:rowOff>142875</xdr:rowOff>
    </xdr:from>
    <xdr:to>
      <xdr:col>7</xdr:col>
      <xdr:colOff>777701</xdr:colOff>
      <xdr:row>3</xdr:row>
      <xdr:rowOff>166193</xdr:rowOff>
    </xdr:to>
    <xdr:pic>
      <xdr:nvPicPr>
        <xdr:cNvPr id="14" name="Picture 13">
          <a:extLst>
            <a:ext uri="{FF2B5EF4-FFF2-40B4-BE49-F238E27FC236}">
              <a16:creationId xmlns:a16="http://schemas.microsoft.com/office/drawing/2014/main" id="{F929DEEF-86FE-C3CA-6111-73E8D1D9A673}"/>
            </a:ext>
          </a:extLst>
        </xdr:cNvPr>
        <xdr:cNvPicPr>
          <a:picLocks noChangeAspect="1"/>
        </xdr:cNvPicPr>
      </xdr:nvPicPr>
      <xdr:blipFill>
        <a:blip xmlns:r="http://schemas.openxmlformats.org/officeDocument/2006/relationships" r:embed="rId8"/>
        <a:stretch>
          <a:fillRect/>
        </a:stretch>
      </xdr:blipFill>
      <xdr:spPr>
        <a:xfrm>
          <a:off x="8601075" y="409575"/>
          <a:ext cx="920576" cy="890093"/>
        </a:xfrm>
        <a:prstGeom prst="rect">
          <a:avLst/>
        </a:prstGeom>
      </xdr:spPr>
    </xdr:pic>
    <xdr:clientData/>
  </xdr:twoCellAnchor>
  <xdr:twoCellAnchor editAs="oneCell">
    <xdr:from>
      <xdr:col>14</xdr:col>
      <xdr:colOff>952500</xdr:colOff>
      <xdr:row>2</xdr:row>
      <xdr:rowOff>114300</xdr:rowOff>
    </xdr:from>
    <xdr:to>
      <xdr:col>15</xdr:col>
      <xdr:colOff>853901</xdr:colOff>
      <xdr:row>3</xdr:row>
      <xdr:rowOff>137618</xdr:rowOff>
    </xdr:to>
    <xdr:pic>
      <xdr:nvPicPr>
        <xdr:cNvPr id="15" name="Picture 14">
          <a:extLst>
            <a:ext uri="{FF2B5EF4-FFF2-40B4-BE49-F238E27FC236}">
              <a16:creationId xmlns:a16="http://schemas.microsoft.com/office/drawing/2014/main" id="{A8F435E7-6006-BDC8-6779-698CD4CABE43}"/>
            </a:ext>
          </a:extLst>
        </xdr:cNvPr>
        <xdr:cNvPicPr>
          <a:picLocks noChangeAspect="1"/>
        </xdr:cNvPicPr>
      </xdr:nvPicPr>
      <xdr:blipFill>
        <a:blip xmlns:r="http://schemas.openxmlformats.org/officeDocument/2006/relationships" r:embed="rId9"/>
        <a:stretch>
          <a:fillRect/>
        </a:stretch>
      </xdr:blipFill>
      <xdr:spPr>
        <a:xfrm>
          <a:off x="17430750" y="381000"/>
          <a:ext cx="920576" cy="890093"/>
        </a:xfrm>
        <a:prstGeom prst="rect">
          <a:avLst/>
        </a:prstGeom>
      </xdr:spPr>
    </xdr:pic>
    <xdr:clientData/>
  </xdr:twoCellAnchor>
  <xdr:twoCellAnchor editAs="oneCell">
    <xdr:from>
      <xdr:col>21</xdr:col>
      <xdr:colOff>809625</xdr:colOff>
      <xdr:row>2</xdr:row>
      <xdr:rowOff>142875</xdr:rowOff>
    </xdr:from>
    <xdr:to>
      <xdr:col>22</xdr:col>
      <xdr:colOff>711026</xdr:colOff>
      <xdr:row>3</xdr:row>
      <xdr:rowOff>166193</xdr:rowOff>
    </xdr:to>
    <xdr:pic>
      <xdr:nvPicPr>
        <xdr:cNvPr id="16" name="Picture 15">
          <a:extLst>
            <a:ext uri="{FF2B5EF4-FFF2-40B4-BE49-F238E27FC236}">
              <a16:creationId xmlns:a16="http://schemas.microsoft.com/office/drawing/2014/main" id="{2974C49F-AE6F-71DD-3248-9261817FEE66}"/>
            </a:ext>
          </a:extLst>
        </xdr:cNvPr>
        <xdr:cNvPicPr>
          <a:picLocks noChangeAspect="1"/>
        </xdr:cNvPicPr>
      </xdr:nvPicPr>
      <xdr:blipFill>
        <a:blip xmlns:r="http://schemas.openxmlformats.org/officeDocument/2006/relationships" r:embed="rId10"/>
        <a:stretch>
          <a:fillRect/>
        </a:stretch>
      </xdr:blipFill>
      <xdr:spPr>
        <a:xfrm>
          <a:off x="26298525" y="409575"/>
          <a:ext cx="920576" cy="89009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11723</xdr:rowOff>
    </xdr:from>
    <xdr:to>
      <xdr:col>5</xdr:col>
      <xdr:colOff>1619250</xdr:colOff>
      <xdr:row>0</xdr:row>
      <xdr:rowOff>267913</xdr:rowOff>
    </xdr:to>
    <xdr:grpSp>
      <xdr:nvGrpSpPr>
        <xdr:cNvPr id="2" name="Group 1">
          <a:extLst>
            <a:ext uri="{FF2B5EF4-FFF2-40B4-BE49-F238E27FC236}">
              <a16:creationId xmlns:a16="http://schemas.microsoft.com/office/drawing/2014/main" id="{124F18BC-1249-4C8A-8027-A3622E5C6ACB}"/>
            </a:ext>
          </a:extLst>
        </xdr:cNvPr>
        <xdr:cNvGrpSpPr/>
      </xdr:nvGrpSpPr>
      <xdr:grpSpPr>
        <a:xfrm>
          <a:off x="590550" y="15533"/>
          <a:ext cx="9473565" cy="252380"/>
          <a:chOff x="546537" y="13137"/>
          <a:chExt cx="7099739" cy="256190"/>
        </a:xfrm>
      </xdr:grpSpPr>
      <xdr:sp macro="" textlink="">
        <xdr:nvSpPr>
          <xdr:cNvPr id="3" name="Rectangle 2">
            <a:hlinkClick xmlns:r="http://schemas.openxmlformats.org/officeDocument/2006/relationships" r:id="rId1"/>
            <a:extLst>
              <a:ext uri="{FF2B5EF4-FFF2-40B4-BE49-F238E27FC236}">
                <a16:creationId xmlns:a16="http://schemas.microsoft.com/office/drawing/2014/main" id="{95890930-0B44-3008-A303-AB7B66A68EBE}"/>
              </a:ext>
            </a:extLst>
          </xdr:cNvPr>
          <xdr:cNvSpPr/>
        </xdr:nvSpPr>
        <xdr:spPr>
          <a:xfrm>
            <a:off x="546537" y="13137"/>
            <a:ext cx="1010308"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Welcome</a:t>
            </a:r>
          </a:p>
        </xdr:txBody>
      </xdr:sp>
      <xdr:sp macro="" textlink="">
        <xdr:nvSpPr>
          <xdr:cNvPr id="4" name="Rectangle 3">
            <a:hlinkClick xmlns:r="http://schemas.openxmlformats.org/officeDocument/2006/relationships" r:id="rId2"/>
            <a:extLst>
              <a:ext uri="{FF2B5EF4-FFF2-40B4-BE49-F238E27FC236}">
                <a16:creationId xmlns:a16="http://schemas.microsoft.com/office/drawing/2014/main" id="{2222DA06-677B-CB3F-027D-51E12F751861}"/>
              </a:ext>
            </a:extLst>
          </xdr:cNvPr>
          <xdr:cNvSpPr/>
        </xdr:nvSpPr>
        <xdr:spPr>
          <a:xfrm>
            <a:off x="1551589" y="13137"/>
            <a:ext cx="1056290"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1. Introduction</a:t>
            </a:r>
          </a:p>
          <a:p>
            <a:pPr algn="ctr"/>
            <a:endParaRPr lang="en-US" sz="1100"/>
          </a:p>
        </xdr:txBody>
      </xdr:sp>
      <xdr:sp macro="" textlink="">
        <xdr:nvSpPr>
          <xdr:cNvPr id="5" name="Rectangle 4">
            <a:hlinkClick xmlns:r="http://schemas.openxmlformats.org/officeDocument/2006/relationships" r:id="rId3"/>
            <a:extLst>
              <a:ext uri="{FF2B5EF4-FFF2-40B4-BE49-F238E27FC236}">
                <a16:creationId xmlns:a16="http://schemas.microsoft.com/office/drawing/2014/main" id="{52C0DAA1-2181-F3DE-BF50-F0A22B0AA2D9}"/>
              </a:ext>
            </a:extLst>
          </xdr:cNvPr>
          <xdr:cNvSpPr/>
        </xdr:nvSpPr>
        <xdr:spPr>
          <a:xfrm>
            <a:off x="2602623" y="13137"/>
            <a:ext cx="872359"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2. Settings</a:t>
            </a:r>
          </a:p>
          <a:p>
            <a:pPr algn="ctr"/>
            <a:endParaRPr lang="en-US" sz="1100">
              <a:solidFill>
                <a:schemeClr val="bg1"/>
              </a:solidFill>
            </a:endParaRPr>
          </a:p>
        </xdr:txBody>
      </xdr:sp>
      <xdr:sp macro="" textlink="">
        <xdr:nvSpPr>
          <xdr:cNvPr id="6" name="Rectangle 5">
            <a:hlinkClick xmlns:r="http://schemas.openxmlformats.org/officeDocument/2006/relationships" r:id="rId4"/>
            <a:extLst>
              <a:ext uri="{FF2B5EF4-FFF2-40B4-BE49-F238E27FC236}">
                <a16:creationId xmlns:a16="http://schemas.microsoft.com/office/drawing/2014/main" id="{9C38EB74-5101-FADB-C4A8-F005C9CC15C1}"/>
              </a:ext>
            </a:extLst>
          </xdr:cNvPr>
          <xdr:cNvSpPr/>
        </xdr:nvSpPr>
        <xdr:spPr>
          <a:xfrm>
            <a:off x="3469726" y="13137"/>
            <a:ext cx="1102275"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3. Calculator</a:t>
            </a:r>
          </a:p>
          <a:p>
            <a:pPr algn="ctr"/>
            <a:endParaRPr lang="en-US" sz="1100">
              <a:solidFill>
                <a:schemeClr val="bg1">
                  <a:lumMod val="65000"/>
                </a:schemeClr>
              </a:solidFill>
            </a:endParaRPr>
          </a:p>
        </xdr:txBody>
      </xdr:sp>
      <xdr:sp macro="" textlink="">
        <xdr:nvSpPr>
          <xdr:cNvPr id="7" name="Rectangle 6">
            <a:extLst>
              <a:ext uri="{FF2B5EF4-FFF2-40B4-BE49-F238E27FC236}">
                <a16:creationId xmlns:a16="http://schemas.microsoft.com/office/drawing/2014/main" id="{B1757829-2ED0-E6BE-7818-066F1F626833}"/>
              </a:ext>
            </a:extLst>
          </xdr:cNvPr>
          <xdr:cNvSpPr/>
        </xdr:nvSpPr>
        <xdr:spPr>
          <a:xfrm>
            <a:off x="4566745" y="13137"/>
            <a:ext cx="2054774" cy="256190"/>
          </a:xfrm>
          <a:prstGeom prst="rect">
            <a:avLst/>
          </a:prstGeom>
          <a:solidFill>
            <a:srgbClr val="00ACA2"/>
          </a:solidFill>
          <a:ln w="19050">
            <a:solidFill>
              <a:srgbClr val="00ACA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solidFill>
              </a:rPr>
              <a:t>Calculate Mobile Activity Data</a:t>
            </a:r>
          </a:p>
        </xdr:txBody>
      </xdr:sp>
      <xdr:sp macro="" textlink="">
        <xdr:nvSpPr>
          <xdr:cNvPr id="8" name="Rectangle 7">
            <a:hlinkClick xmlns:r="http://schemas.openxmlformats.org/officeDocument/2006/relationships" r:id="rId5"/>
            <a:extLst>
              <a:ext uri="{FF2B5EF4-FFF2-40B4-BE49-F238E27FC236}">
                <a16:creationId xmlns:a16="http://schemas.microsoft.com/office/drawing/2014/main" id="{6F8D3B98-CC28-7424-B76F-0DA944E3DF64}"/>
              </a:ext>
            </a:extLst>
          </xdr:cNvPr>
          <xdr:cNvSpPr/>
        </xdr:nvSpPr>
        <xdr:spPr>
          <a:xfrm>
            <a:off x="6616261" y="13137"/>
            <a:ext cx="1030015"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Summary</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34</xdr:row>
      <xdr:rowOff>161924</xdr:rowOff>
    </xdr:from>
    <xdr:to>
      <xdr:col>5</xdr:col>
      <xdr:colOff>28575</xdr:colOff>
      <xdr:row>51</xdr:row>
      <xdr:rowOff>47624</xdr:rowOff>
    </xdr:to>
    <xdr:graphicFrame macro="">
      <xdr:nvGraphicFramePr>
        <xdr:cNvPr id="2442" name="Summary_Emission_By_Mode_Of_Transport_Chart">
          <a:extLst>
            <a:ext uri="{FF2B5EF4-FFF2-40B4-BE49-F238E27FC236}">
              <a16:creationId xmlns:a16="http://schemas.microsoft.com/office/drawing/2014/main" id="{00000000-0008-0000-0500-00008A0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104775</xdr:colOff>
      <xdr:row>4</xdr:row>
      <xdr:rowOff>38100</xdr:rowOff>
    </xdr:from>
    <xdr:to>
      <xdr:col>5</xdr:col>
      <xdr:colOff>257175</xdr:colOff>
      <xdr:row>20</xdr:row>
      <xdr:rowOff>95250</xdr:rowOff>
    </xdr:to>
    <xdr:graphicFrame macro="">
      <xdr:nvGraphicFramePr>
        <xdr:cNvPr id="2443" name="Summary_Emission_By_Scope_Chart">
          <a:extLst>
            <a:ext uri="{FF2B5EF4-FFF2-40B4-BE49-F238E27FC236}">
              <a16:creationId xmlns:a16="http://schemas.microsoft.com/office/drawing/2014/main" id="{00000000-0008-0000-0500-00008B0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9525</xdr:colOff>
      <xdr:row>0</xdr:row>
      <xdr:rowOff>19050</xdr:rowOff>
    </xdr:from>
    <xdr:to>
      <xdr:col>12</xdr:col>
      <xdr:colOff>762000</xdr:colOff>
      <xdr:row>1</xdr:row>
      <xdr:rowOff>113315</xdr:rowOff>
    </xdr:to>
    <xdr:grpSp>
      <xdr:nvGrpSpPr>
        <xdr:cNvPr id="10" name="Group 9">
          <a:extLst>
            <a:ext uri="{FF2B5EF4-FFF2-40B4-BE49-F238E27FC236}">
              <a16:creationId xmlns:a16="http://schemas.microsoft.com/office/drawing/2014/main" id="{20B39625-867C-4909-80CC-7448FB07497D}"/>
            </a:ext>
          </a:extLst>
        </xdr:cNvPr>
        <xdr:cNvGrpSpPr/>
      </xdr:nvGrpSpPr>
      <xdr:grpSpPr>
        <a:xfrm>
          <a:off x="601980" y="15240"/>
          <a:ext cx="9475470" cy="269525"/>
          <a:chOff x="546537" y="13137"/>
          <a:chExt cx="7099739" cy="256190"/>
        </a:xfrm>
      </xdr:grpSpPr>
      <xdr:sp macro="" textlink="">
        <xdr:nvSpPr>
          <xdr:cNvPr id="11" name="Rectangle 10">
            <a:hlinkClick xmlns:r="http://schemas.openxmlformats.org/officeDocument/2006/relationships" r:id="rId3"/>
            <a:extLst>
              <a:ext uri="{FF2B5EF4-FFF2-40B4-BE49-F238E27FC236}">
                <a16:creationId xmlns:a16="http://schemas.microsoft.com/office/drawing/2014/main" id="{8FA06737-9977-3F6E-233D-74F92F536F9B}"/>
              </a:ext>
            </a:extLst>
          </xdr:cNvPr>
          <xdr:cNvSpPr/>
        </xdr:nvSpPr>
        <xdr:spPr>
          <a:xfrm>
            <a:off x="546537" y="13137"/>
            <a:ext cx="1010308"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Welcome</a:t>
            </a:r>
          </a:p>
        </xdr:txBody>
      </xdr:sp>
      <xdr:sp macro="" textlink="">
        <xdr:nvSpPr>
          <xdr:cNvPr id="12" name="Rectangle 11">
            <a:hlinkClick xmlns:r="http://schemas.openxmlformats.org/officeDocument/2006/relationships" r:id="rId4"/>
            <a:extLst>
              <a:ext uri="{FF2B5EF4-FFF2-40B4-BE49-F238E27FC236}">
                <a16:creationId xmlns:a16="http://schemas.microsoft.com/office/drawing/2014/main" id="{10A66B84-C0CD-5F2B-FFD0-5C6B24FFC95B}"/>
              </a:ext>
            </a:extLst>
          </xdr:cNvPr>
          <xdr:cNvSpPr/>
        </xdr:nvSpPr>
        <xdr:spPr>
          <a:xfrm>
            <a:off x="1551589" y="13137"/>
            <a:ext cx="1056290"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1. Introduction</a:t>
            </a:r>
          </a:p>
          <a:p>
            <a:pPr algn="ctr"/>
            <a:endParaRPr lang="en-US" sz="1100"/>
          </a:p>
        </xdr:txBody>
      </xdr:sp>
      <xdr:sp macro="" textlink="">
        <xdr:nvSpPr>
          <xdr:cNvPr id="13" name="Rectangle 12">
            <a:hlinkClick xmlns:r="http://schemas.openxmlformats.org/officeDocument/2006/relationships" r:id="rId5"/>
            <a:extLst>
              <a:ext uri="{FF2B5EF4-FFF2-40B4-BE49-F238E27FC236}">
                <a16:creationId xmlns:a16="http://schemas.microsoft.com/office/drawing/2014/main" id="{A3862318-F4C1-281D-3151-ABA22238C42B}"/>
              </a:ext>
            </a:extLst>
          </xdr:cNvPr>
          <xdr:cNvSpPr/>
        </xdr:nvSpPr>
        <xdr:spPr>
          <a:xfrm>
            <a:off x="2602623" y="13137"/>
            <a:ext cx="872359"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2. Settings</a:t>
            </a:r>
          </a:p>
          <a:p>
            <a:pPr algn="ctr"/>
            <a:endParaRPr lang="en-US" sz="1100">
              <a:solidFill>
                <a:schemeClr val="bg1"/>
              </a:solidFill>
            </a:endParaRPr>
          </a:p>
        </xdr:txBody>
      </xdr:sp>
      <xdr:sp macro="" textlink="">
        <xdr:nvSpPr>
          <xdr:cNvPr id="14" name="Rectangle 13">
            <a:hlinkClick xmlns:r="http://schemas.openxmlformats.org/officeDocument/2006/relationships" r:id="rId6"/>
            <a:extLst>
              <a:ext uri="{FF2B5EF4-FFF2-40B4-BE49-F238E27FC236}">
                <a16:creationId xmlns:a16="http://schemas.microsoft.com/office/drawing/2014/main" id="{3F6DAA98-65C3-6AC6-A51C-41BEA0BAB917}"/>
              </a:ext>
            </a:extLst>
          </xdr:cNvPr>
          <xdr:cNvSpPr/>
        </xdr:nvSpPr>
        <xdr:spPr>
          <a:xfrm>
            <a:off x="3469726" y="13137"/>
            <a:ext cx="1102275"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3. Calculator</a:t>
            </a:r>
          </a:p>
        </xdr:txBody>
      </xdr:sp>
      <xdr:sp macro="" textlink="">
        <xdr:nvSpPr>
          <xdr:cNvPr id="15" name="Rectangle 14">
            <a:hlinkClick xmlns:r="http://schemas.openxmlformats.org/officeDocument/2006/relationships" r:id="rId7"/>
            <a:extLst>
              <a:ext uri="{FF2B5EF4-FFF2-40B4-BE49-F238E27FC236}">
                <a16:creationId xmlns:a16="http://schemas.microsoft.com/office/drawing/2014/main" id="{73384399-5010-19CF-1A0E-0D8FBDE351C7}"/>
              </a:ext>
            </a:extLst>
          </xdr:cNvPr>
          <xdr:cNvSpPr/>
        </xdr:nvSpPr>
        <xdr:spPr>
          <a:xfrm>
            <a:off x="4566745" y="13137"/>
            <a:ext cx="2054774"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Calculate Mobile Activity Data</a:t>
            </a:r>
          </a:p>
        </xdr:txBody>
      </xdr:sp>
      <xdr:sp macro="" textlink="">
        <xdr:nvSpPr>
          <xdr:cNvPr id="16" name="Rectangle 15">
            <a:extLst>
              <a:ext uri="{FF2B5EF4-FFF2-40B4-BE49-F238E27FC236}">
                <a16:creationId xmlns:a16="http://schemas.microsoft.com/office/drawing/2014/main" id="{CA819D1F-0A6F-31C4-2DD2-7CB25B118266}"/>
              </a:ext>
            </a:extLst>
          </xdr:cNvPr>
          <xdr:cNvSpPr/>
        </xdr:nvSpPr>
        <xdr:spPr>
          <a:xfrm>
            <a:off x="6616261" y="13137"/>
            <a:ext cx="1030015" cy="256190"/>
          </a:xfrm>
          <a:prstGeom prst="rect">
            <a:avLst/>
          </a:prstGeom>
          <a:solidFill>
            <a:srgbClr val="00ACA2"/>
          </a:solidFill>
          <a:ln w="19050">
            <a:solidFill>
              <a:srgbClr val="00ACA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solidFill>
              </a:rPr>
              <a:t>Summary</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361950</xdr:colOff>
      <xdr:row>0</xdr:row>
      <xdr:rowOff>0</xdr:rowOff>
    </xdr:from>
    <xdr:to>
      <xdr:col>4</xdr:col>
      <xdr:colOff>5381625</xdr:colOff>
      <xdr:row>1</xdr:row>
      <xdr:rowOff>94265</xdr:rowOff>
    </xdr:to>
    <xdr:grpSp>
      <xdr:nvGrpSpPr>
        <xdr:cNvPr id="2" name="Group 1">
          <a:extLst>
            <a:ext uri="{FF2B5EF4-FFF2-40B4-BE49-F238E27FC236}">
              <a16:creationId xmlns:a16="http://schemas.microsoft.com/office/drawing/2014/main" id="{258F18AC-392C-4DCE-8397-A2DC3B09B7FF}"/>
            </a:ext>
          </a:extLst>
        </xdr:cNvPr>
        <xdr:cNvGrpSpPr/>
      </xdr:nvGrpSpPr>
      <xdr:grpSpPr>
        <a:xfrm>
          <a:off x="843915" y="0"/>
          <a:ext cx="9359265" cy="269525"/>
          <a:chOff x="546537" y="13137"/>
          <a:chExt cx="7099739" cy="256190"/>
        </a:xfrm>
      </xdr:grpSpPr>
      <xdr:sp macro="" textlink="">
        <xdr:nvSpPr>
          <xdr:cNvPr id="4" name="Rectangle 3">
            <a:hlinkClick xmlns:r="http://schemas.openxmlformats.org/officeDocument/2006/relationships" r:id="rId1"/>
            <a:extLst>
              <a:ext uri="{FF2B5EF4-FFF2-40B4-BE49-F238E27FC236}">
                <a16:creationId xmlns:a16="http://schemas.microsoft.com/office/drawing/2014/main" id="{401EFE8F-4059-1971-F0F5-992435EC569F}"/>
              </a:ext>
            </a:extLst>
          </xdr:cNvPr>
          <xdr:cNvSpPr/>
        </xdr:nvSpPr>
        <xdr:spPr>
          <a:xfrm>
            <a:off x="546537" y="13137"/>
            <a:ext cx="1010308"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Welcome</a:t>
            </a:r>
          </a:p>
        </xdr:txBody>
      </xdr:sp>
      <xdr:sp macro="" textlink="">
        <xdr:nvSpPr>
          <xdr:cNvPr id="5" name="Rectangle 4">
            <a:hlinkClick xmlns:r="http://schemas.openxmlformats.org/officeDocument/2006/relationships" r:id="rId2"/>
            <a:extLst>
              <a:ext uri="{FF2B5EF4-FFF2-40B4-BE49-F238E27FC236}">
                <a16:creationId xmlns:a16="http://schemas.microsoft.com/office/drawing/2014/main" id="{65776C00-B617-AEB0-4AB8-AB5D3D3F2EF0}"/>
              </a:ext>
            </a:extLst>
          </xdr:cNvPr>
          <xdr:cNvSpPr/>
        </xdr:nvSpPr>
        <xdr:spPr>
          <a:xfrm>
            <a:off x="1551589" y="13137"/>
            <a:ext cx="1056290"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1. Introduction</a:t>
            </a:r>
          </a:p>
          <a:p>
            <a:pPr algn="ctr"/>
            <a:endParaRPr lang="en-US" sz="1100"/>
          </a:p>
        </xdr:txBody>
      </xdr:sp>
      <xdr:sp macro="" textlink="">
        <xdr:nvSpPr>
          <xdr:cNvPr id="6" name="Rectangle 5">
            <a:hlinkClick xmlns:r="http://schemas.openxmlformats.org/officeDocument/2006/relationships" r:id="rId3"/>
            <a:extLst>
              <a:ext uri="{FF2B5EF4-FFF2-40B4-BE49-F238E27FC236}">
                <a16:creationId xmlns:a16="http://schemas.microsoft.com/office/drawing/2014/main" id="{2CBA87E7-1DC6-B4FD-3B86-0BC2C15E5D6A}"/>
              </a:ext>
            </a:extLst>
          </xdr:cNvPr>
          <xdr:cNvSpPr/>
        </xdr:nvSpPr>
        <xdr:spPr>
          <a:xfrm>
            <a:off x="2602623" y="13137"/>
            <a:ext cx="872359"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2. Settings</a:t>
            </a:r>
          </a:p>
          <a:p>
            <a:pPr algn="ctr"/>
            <a:endParaRPr lang="en-US" sz="1100">
              <a:solidFill>
                <a:schemeClr val="bg1"/>
              </a:solidFill>
            </a:endParaRPr>
          </a:p>
        </xdr:txBody>
      </xdr:sp>
      <xdr:sp macro="" textlink="">
        <xdr:nvSpPr>
          <xdr:cNvPr id="7" name="Rectangle 6">
            <a:hlinkClick xmlns:r="http://schemas.openxmlformats.org/officeDocument/2006/relationships" r:id="rId4"/>
            <a:extLst>
              <a:ext uri="{FF2B5EF4-FFF2-40B4-BE49-F238E27FC236}">
                <a16:creationId xmlns:a16="http://schemas.microsoft.com/office/drawing/2014/main" id="{D3FD9BB5-BA1A-D938-CE7E-96D22BCA1EAD}"/>
              </a:ext>
            </a:extLst>
          </xdr:cNvPr>
          <xdr:cNvSpPr/>
        </xdr:nvSpPr>
        <xdr:spPr>
          <a:xfrm>
            <a:off x="3469726" y="13137"/>
            <a:ext cx="1102275"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3. Calculator</a:t>
            </a:r>
          </a:p>
        </xdr:txBody>
      </xdr:sp>
      <xdr:sp macro="" textlink="">
        <xdr:nvSpPr>
          <xdr:cNvPr id="8" name="Rectangle 7">
            <a:hlinkClick xmlns:r="http://schemas.openxmlformats.org/officeDocument/2006/relationships" r:id="rId5"/>
            <a:extLst>
              <a:ext uri="{FF2B5EF4-FFF2-40B4-BE49-F238E27FC236}">
                <a16:creationId xmlns:a16="http://schemas.microsoft.com/office/drawing/2014/main" id="{330B5965-43FD-43ED-8686-ACA8C0F03E0D}"/>
              </a:ext>
            </a:extLst>
          </xdr:cNvPr>
          <xdr:cNvSpPr/>
        </xdr:nvSpPr>
        <xdr:spPr>
          <a:xfrm>
            <a:off x="4566745" y="13137"/>
            <a:ext cx="2054774"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Calculate Mobile Activity Data</a:t>
            </a:r>
          </a:p>
        </xdr:txBody>
      </xdr:sp>
      <xdr:sp macro="" textlink="">
        <xdr:nvSpPr>
          <xdr:cNvPr id="9" name="Rectangle 8">
            <a:hlinkClick xmlns:r="http://schemas.openxmlformats.org/officeDocument/2006/relationships" r:id="rId6"/>
            <a:extLst>
              <a:ext uri="{FF2B5EF4-FFF2-40B4-BE49-F238E27FC236}">
                <a16:creationId xmlns:a16="http://schemas.microsoft.com/office/drawing/2014/main" id="{9F45166E-8CC9-B635-D230-C2AF5828694A}"/>
              </a:ext>
            </a:extLst>
          </xdr:cNvPr>
          <xdr:cNvSpPr/>
        </xdr:nvSpPr>
        <xdr:spPr>
          <a:xfrm>
            <a:off x="6616261" y="13137"/>
            <a:ext cx="1030015" cy="256190"/>
          </a:xfrm>
          <a:prstGeom prst="rect">
            <a:avLst/>
          </a:prstGeom>
          <a:solidFill>
            <a:srgbClr val="00ACA2"/>
          </a:solidFill>
          <a:ln w="19050">
            <a:solidFill>
              <a:srgbClr val="00ACA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solidFill>
              </a:rPr>
              <a:t>Summary</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forms.office.com/Pages/ResponsePage.aspx?id=H6xrR7I22UqGmc2mutH4YkTo9xq9VRpCteO0lzUos9hUN1M5RVE4UElLN0hXQ0ZFU0FOVjlDSlEwMCQlQCN0PWc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ghgprotocol.org/calculation-tools/all-tool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E8FBD-FB3B-4B47-957B-6D2B2B75485F}">
  <sheetPr>
    <tabColor rgb="FF00C6B9"/>
  </sheetPr>
  <dimension ref="B8:M28"/>
  <sheetViews>
    <sheetView showGridLines="0" showRowColHeaders="0" tabSelected="1" workbookViewId="0">
      <selection activeCell="B5" sqref="B5"/>
    </sheetView>
  </sheetViews>
  <sheetFormatPr defaultColWidth="10.88671875" defaultRowHeight="13.2" x14ac:dyDescent="0.25"/>
  <cols>
    <col min="1" max="1" width="5.44140625" style="85" customWidth="1"/>
    <col min="2" max="2" width="133" style="88" customWidth="1"/>
    <col min="3" max="16384" width="10.88671875" style="85"/>
  </cols>
  <sheetData>
    <row r="8" spans="2:13" ht="69" customHeight="1" x14ac:dyDescent="0.25">
      <c r="B8" s="83" t="s">
        <v>736</v>
      </c>
      <c r="C8" s="87"/>
      <c r="D8" s="87"/>
      <c r="E8" s="87"/>
      <c r="F8" s="87"/>
      <c r="G8" s="87"/>
      <c r="H8" s="87"/>
      <c r="I8" s="87"/>
      <c r="J8" s="87"/>
      <c r="K8" s="87"/>
      <c r="L8" s="87"/>
      <c r="M8" s="87"/>
    </row>
    <row r="9" spans="2:13" ht="13.8" x14ac:dyDescent="0.25">
      <c r="B9" s="87"/>
      <c r="C9" s="87"/>
      <c r="D9" s="87"/>
      <c r="E9" s="87"/>
      <c r="F9" s="87"/>
      <c r="G9" s="87"/>
      <c r="H9" s="87"/>
      <c r="I9" s="87"/>
      <c r="J9" s="87"/>
      <c r="K9" s="87"/>
      <c r="L9" s="87"/>
      <c r="M9" s="87"/>
    </row>
    <row r="10" spans="2:13" ht="13.8" x14ac:dyDescent="0.25">
      <c r="B10" s="86" t="s">
        <v>702</v>
      </c>
      <c r="C10" s="84"/>
      <c r="D10" s="84"/>
      <c r="E10" s="84"/>
      <c r="F10" s="84"/>
      <c r="G10" s="84"/>
      <c r="H10" s="84"/>
      <c r="I10" s="84"/>
      <c r="J10" s="84"/>
      <c r="K10" s="84"/>
      <c r="L10" s="84"/>
      <c r="M10" s="84"/>
    </row>
    <row r="11" spans="2:13" ht="207" x14ac:dyDescent="0.25">
      <c r="B11" s="87" t="s">
        <v>703</v>
      </c>
      <c r="C11" s="48"/>
      <c r="D11" s="48"/>
      <c r="E11" s="48"/>
      <c r="F11" s="48"/>
      <c r="G11" s="48"/>
      <c r="H11" s="48"/>
      <c r="I11" s="48"/>
      <c r="J11" s="48"/>
      <c r="K11" s="48"/>
      <c r="L11" s="48"/>
      <c r="M11" s="48"/>
    </row>
    <row r="12" spans="2:13" x14ac:dyDescent="0.25">
      <c r="B12" s="48"/>
      <c r="C12" s="48"/>
      <c r="D12" s="48"/>
      <c r="E12" s="48"/>
      <c r="F12" s="48"/>
      <c r="G12" s="48"/>
      <c r="H12" s="48"/>
      <c r="I12" s="48"/>
      <c r="J12" s="48"/>
      <c r="K12" s="48"/>
      <c r="L12" s="48"/>
      <c r="M12" s="48"/>
    </row>
    <row r="13" spans="2:13" ht="13.8" x14ac:dyDescent="0.25">
      <c r="B13" s="169" t="s">
        <v>704</v>
      </c>
      <c r="C13" s="48"/>
      <c r="D13" s="48"/>
      <c r="E13" s="48"/>
      <c r="F13" s="48"/>
      <c r="G13" s="48"/>
      <c r="H13" s="48"/>
      <c r="I13" s="48"/>
      <c r="J13" s="48"/>
      <c r="K13" s="48"/>
      <c r="L13" s="48"/>
      <c r="M13" s="48"/>
    </row>
    <row r="14" spans="2:13" x14ac:dyDescent="0.25">
      <c r="B14" s="48"/>
      <c r="C14" s="48"/>
      <c r="D14" s="48"/>
      <c r="E14" s="48"/>
      <c r="F14" s="48"/>
      <c r="G14" s="48"/>
      <c r="H14" s="48"/>
      <c r="I14" s="48"/>
      <c r="J14" s="48"/>
      <c r="K14" s="48"/>
      <c r="L14" s="48"/>
      <c r="M14" s="48"/>
    </row>
    <row r="15" spans="2:13" x14ac:dyDescent="0.25">
      <c r="B15" s="48"/>
      <c r="C15" s="48"/>
      <c r="D15" s="48"/>
      <c r="E15" s="48"/>
      <c r="F15" s="48"/>
      <c r="G15" s="48"/>
      <c r="H15" s="48"/>
      <c r="I15" s="48"/>
      <c r="J15" s="48"/>
      <c r="K15" s="48"/>
      <c r="L15" s="48"/>
      <c r="M15" s="48"/>
    </row>
    <row r="16" spans="2:13" x14ac:dyDescent="0.25">
      <c r="B16" s="48"/>
      <c r="C16" s="48"/>
      <c r="D16" s="48"/>
      <c r="E16" s="48"/>
      <c r="F16" s="48"/>
      <c r="G16" s="48"/>
      <c r="H16" s="48"/>
      <c r="I16" s="48"/>
      <c r="J16" s="48"/>
      <c r="K16" s="48"/>
      <c r="L16" s="48"/>
      <c r="M16" s="48"/>
    </row>
    <row r="17" spans="2:13" x14ac:dyDescent="0.25">
      <c r="B17" s="48"/>
      <c r="C17" s="48"/>
      <c r="D17" s="48"/>
      <c r="E17" s="48"/>
      <c r="F17" s="48"/>
      <c r="G17" s="48"/>
      <c r="H17" s="48"/>
      <c r="I17" s="48"/>
      <c r="J17" s="48"/>
      <c r="K17" s="48"/>
      <c r="L17" s="48"/>
      <c r="M17" s="48"/>
    </row>
    <row r="18" spans="2:13" x14ac:dyDescent="0.25">
      <c r="B18" s="48"/>
      <c r="C18" s="48"/>
      <c r="D18" s="48"/>
      <c r="E18" s="48"/>
      <c r="F18" s="48"/>
      <c r="G18" s="48"/>
      <c r="H18" s="48"/>
      <c r="I18" s="48"/>
      <c r="J18" s="48"/>
      <c r="K18" s="48"/>
      <c r="L18" s="48"/>
      <c r="M18" s="48"/>
    </row>
    <row r="19" spans="2:13" x14ac:dyDescent="0.25">
      <c r="B19" s="48"/>
      <c r="C19" s="48"/>
      <c r="D19" s="48"/>
      <c r="E19" s="48"/>
      <c r="F19" s="48"/>
      <c r="G19" s="48"/>
      <c r="H19" s="48"/>
      <c r="I19" s="48"/>
      <c r="J19" s="48"/>
      <c r="K19" s="48"/>
      <c r="L19" s="48"/>
      <c r="M19" s="48"/>
    </row>
    <row r="20" spans="2:13" x14ac:dyDescent="0.25">
      <c r="B20" s="48"/>
      <c r="C20" s="48"/>
      <c r="D20" s="48"/>
      <c r="E20" s="48"/>
      <c r="F20" s="48"/>
      <c r="G20" s="48"/>
      <c r="H20" s="48"/>
      <c r="I20" s="48"/>
      <c r="J20" s="48"/>
      <c r="K20" s="48"/>
      <c r="L20" s="48"/>
      <c r="M20" s="48"/>
    </row>
    <row r="21" spans="2:13" x14ac:dyDescent="0.25">
      <c r="B21" s="48"/>
      <c r="C21" s="48"/>
      <c r="D21" s="48"/>
      <c r="E21" s="48"/>
      <c r="F21" s="48"/>
      <c r="G21" s="48"/>
      <c r="H21" s="48"/>
      <c r="I21" s="48"/>
      <c r="J21" s="48"/>
      <c r="K21" s="48"/>
      <c r="L21" s="48"/>
      <c r="M21" s="48"/>
    </row>
    <row r="22" spans="2:13" x14ac:dyDescent="0.25">
      <c r="B22" s="48"/>
      <c r="C22" s="48"/>
      <c r="D22" s="48"/>
      <c r="E22" s="48"/>
      <c r="F22" s="48"/>
      <c r="G22" s="48"/>
      <c r="H22" s="48"/>
      <c r="I22" s="48"/>
      <c r="J22" s="48"/>
      <c r="K22" s="48"/>
      <c r="L22" s="48"/>
      <c r="M22" s="48"/>
    </row>
    <row r="23" spans="2:13" x14ac:dyDescent="0.25">
      <c r="B23" s="48"/>
      <c r="C23" s="48"/>
      <c r="D23" s="48"/>
      <c r="E23" s="48"/>
      <c r="F23" s="48"/>
      <c r="G23" s="48"/>
      <c r="H23" s="48"/>
      <c r="I23" s="48"/>
      <c r="J23" s="48"/>
      <c r="K23" s="48"/>
      <c r="L23" s="48"/>
      <c r="M23" s="48"/>
    </row>
    <row r="24" spans="2:13" x14ac:dyDescent="0.25">
      <c r="B24" s="48"/>
      <c r="C24" s="48"/>
      <c r="D24" s="48"/>
      <c r="E24" s="48"/>
      <c r="F24" s="48"/>
      <c r="G24" s="48"/>
      <c r="H24" s="48"/>
      <c r="I24" s="48"/>
      <c r="J24" s="48"/>
      <c r="K24" s="48"/>
      <c r="L24" s="48"/>
      <c r="M24" s="48"/>
    </row>
    <row r="25" spans="2:13" x14ac:dyDescent="0.25">
      <c r="B25" s="48"/>
      <c r="C25" s="48"/>
      <c r="D25" s="48"/>
      <c r="E25" s="48"/>
      <c r="F25" s="48"/>
      <c r="G25" s="48"/>
      <c r="H25" s="48"/>
      <c r="I25" s="48"/>
      <c r="J25" s="48"/>
      <c r="K25" s="48"/>
      <c r="L25" s="48"/>
      <c r="M25" s="48"/>
    </row>
    <row r="26" spans="2:13" x14ac:dyDescent="0.25">
      <c r="B26" s="48"/>
      <c r="C26" s="48"/>
      <c r="D26" s="48"/>
      <c r="E26" s="48"/>
      <c r="F26" s="48"/>
      <c r="G26" s="48"/>
      <c r="H26" s="48"/>
      <c r="I26" s="48"/>
      <c r="J26" s="48"/>
      <c r="K26" s="48"/>
      <c r="L26" s="48"/>
      <c r="M26" s="48"/>
    </row>
    <row r="27" spans="2:13" x14ac:dyDescent="0.25">
      <c r="B27" s="48"/>
      <c r="C27" s="48"/>
      <c r="D27" s="48"/>
      <c r="E27" s="48"/>
      <c r="F27" s="48"/>
      <c r="G27" s="48"/>
      <c r="H27" s="48"/>
      <c r="I27" s="48"/>
      <c r="J27" s="48"/>
      <c r="K27" s="48"/>
      <c r="L27" s="48"/>
      <c r="M27" s="48"/>
    </row>
    <row r="28" spans="2:13" x14ac:dyDescent="0.25">
      <c r="B28" s="48"/>
      <c r="C28" s="48"/>
      <c r="D28" s="48"/>
      <c r="E28" s="48"/>
      <c r="F28" s="48"/>
      <c r="G28" s="48"/>
      <c r="H28" s="48"/>
      <c r="I28" s="48"/>
      <c r="J28" s="48"/>
      <c r="K28" s="48"/>
      <c r="L28" s="48"/>
      <c r="M28" s="48"/>
    </row>
  </sheetData>
  <sheetProtection algorithmName="SHA-512" hashValue="N3wJStiajzurAm2dc2bdN4cY+IUWGqBIDqHOR2QvvASKsnuawhvh4vt5HB2Z9mFZjk3Yyy8a7SIAru0jrZCM7Q==" saltValue="lzvvyA7T3mI2NRnzyyFSBQ==" spinCount="100000" sheet="1" objects="1" scenarios="1"/>
  <hyperlinks>
    <hyperlink ref="B13" r:id="rId1" xr:uid="{13BDA2B6-9AF6-4509-86A2-3589B80F9220}"/>
  </hyperlinks>
  <pageMargins left="0.7" right="0.7" top="0.75" bottom="0.75" header="0.3" footer="0.3"/>
  <pageSetup orientation="portrait" horizontalDpi="1200" verticalDpi="12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1">
    <tabColor theme="5" tint="0.79998168889431442"/>
  </sheetPr>
  <dimension ref="A1:T283"/>
  <sheetViews>
    <sheetView workbookViewId="0"/>
  </sheetViews>
  <sheetFormatPr defaultRowHeight="13.2" x14ac:dyDescent="0.25"/>
  <cols>
    <col min="1" max="1" width="78.109375" customWidth="1"/>
    <col min="2" max="2" width="15.6640625" customWidth="1"/>
    <col min="3" max="3" width="16.5546875" style="45" customWidth="1"/>
    <col min="4" max="4" width="18.6640625" style="45" customWidth="1"/>
    <col min="5" max="5" width="20.6640625" style="45" customWidth="1"/>
    <col min="6" max="6" width="20.33203125" bestFit="1" customWidth="1"/>
    <col min="7" max="7" width="22.5546875" bestFit="1" customWidth="1"/>
    <col min="8" max="8" width="23" customWidth="1"/>
    <col min="9" max="9" width="18.88671875" customWidth="1"/>
    <col min="10" max="11" width="20.6640625" customWidth="1"/>
    <col min="12" max="12" width="25.109375" customWidth="1"/>
    <col min="13" max="13" width="23" customWidth="1"/>
    <col min="14" max="14" width="29.33203125" bestFit="1" customWidth="1"/>
    <col min="15" max="15" width="43.109375" customWidth="1"/>
    <col min="16" max="16" width="31.109375" customWidth="1"/>
    <col min="17" max="17" width="47.109375" customWidth="1"/>
    <col min="18" max="18" width="49.44140625" bestFit="1" customWidth="1"/>
    <col min="19" max="19" width="19.109375" bestFit="1" customWidth="1"/>
    <col min="20" max="20" width="20.6640625" bestFit="1" customWidth="1"/>
    <col min="21" max="22" width="23" bestFit="1" customWidth="1"/>
    <col min="29" max="29" width="15.88671875" customWidth="1"/>
  </cols>
  <sheetData>
    <row r="1" spans="1:20" x14ac:dyDescent="0.25">
      <c r="A1" s="2" t="s">
        <v>491</v>
      </c>
      <c r="B1" s="44"/>
      <c r="C1" s="44"/>
      <c r="D1" s="44"/>
      <c r="E1" s="44"/>
      <c r="F1" s="3"/>
      <c r="G1" s="3"/>
      <c r="H1" s="3"/>
      <c r="I1" s="3"/>
      <c r="J1" s="3"/>
      <c r="K1" s="3"/>
      <c r="L1" s="3"/>
      <c r="M1" s="3"/>
      <c r="N1" s="3"/>
      <c r="O1" s="3"/>
      <c r="P1" s="3"/>
      <c r="Q1" s="3"/>
      <c r="R1" s="3"/>
      <c r="S1" s="3"/>
      <c r="T1" s="3"/>
    </row>
    <row r="2" spans="1:20" x14ac:dyDescent="0.25">
      <c r="C2"/>
      <c r="D2"/>
      <c r="E2"/>
    </row>
    <row r="3" spans="1:20" x14ac:dyDescent="0.25">
      <c r="A3" s="41" t="s">
        <v>34</v>
      </c>
      <c r="B3" s="41" t="s">
        <v>7</v>
      </c>
      <c r="C3" s="41" t="s">
        <v>2</v>
      </c>
      <c r="D3" s="41" t="s">
        <v>23</v>
      </c>
      <c r="E3" s="41" t="s">
        <v>24</v>
      </c>
      <c r="F3" s="41" t="s">
        <v>3</v>
      </c>
      <c r="G3" s="41" t="s">
        <v>25</v>
      </c>
      <c r="H3" s="41" t="s">
        <v>26</v>
      </c>
      <c r="I3" s="41" t="s">
        <v>11</v>
      </c>
      <c r="J3" s="41" t="s">
        <v>13</v>
      </c>
      <c r="K3" s="41" t="s">
        <v>35</v>
      </c>
      <c r="L3" s="41" t="s">
        <v>36</v>
      </c>
      <c r="M3" s="41" t="s">
        <v>37</v>
      </c>
      <c r="N3" s="41" t="s">
        <v>0</v>
      </c>
    </row>
    <row r="4" spans="1:20" s="137" customFormat="1" x14ac:dyDescent="0.25">
      <c r="A4" s="139" t="s">
        <v>691</v>
      </c>
      <c r="B4" s="138"/>
      <c r="C4" s="138"/>
      <c r="D4" s="138"/>
      <c r="E4" s="138"/>
      <c r="F4" s="138"/>
      <c r="G4" s="138"/>
      <c r="H4" s="138"/>
      <c r="I4" s="138"/>
      <c r="J4" s="138"/>
      <c r="K4" s="138"/>
      <c r="L4" s="138"/>
      <c r="M4" s="138"/>
      <c r="N4" s="138"/>
    </row>
    <row r="5" spans="1:20" x14ac:dyDescent="0.25">
      <c r="A5" s="42" t="s">
        <v>226</v>
      </c>
      <c r="B5" s="42" t="s">
        <v>121</v>
      </c>
      <c r="C5" s="42">
        <v>0.40100000000000002</v>
      </c>
      <c r="D5" s="42" t="s">
        <v>28</v>
      </c>
      <c r="E5" s="42" t="s">
        <v>40</v>
      </c>
      <c r="F5" s="42">
        <v>0.13500000000000001</v>
      </c>
      <c r="G5" s="42" t="s">
        <v>28</v>
      </c>
      <c r="H5" s="42" t="s">
        <v>40</v>
      </c>
      <c r="I5" s="42"/>
      <c r="J5" s="42" t="s">
        <v>77</v>
      </c>
      <c r="K5" s="42"/>
      <c r="L5" s="42" t="s">
        <v>38</v>
      </c>
      <c r="M5" s="42" t="s">
        <v>58</v>
      </c>
      <c r="N5" s="43" t="s">
        <v>614</v>
      </c>
    </row>
    <row r="6" spans="1:20" x14ac:dyDescent="0.25">
      <c r="A6" s="42" t="s">
        <v>32</v>
      </c>
      <c r="B6" s="42" t="s">
        <v>121</v>
      </c>
      <c r="C6" s="42">
        <v>7.7149999999999999</v>
      </c>
      <c r="D6" s="42" t="s">
        <v>28</v>
      </c>
      <c r="E6" s="42" t="s">
        <v>40</v>
      </c>
      <c r="F6" s="42">
        <v>0.10100000000000001</v>
      </c>
      <c r="G6" s="42" t="s">
        <v>28</v>
      </c>
      <c r="H6" s="42" t="s">
        <v>40</v>
      </c>
      <c r="I6" s="42"/>
      <c r="J6" s="42" t="s">
        <v>77</v>
      </c>
      <c r="K6" s="42"/>
      <c r="L6" s="42" t="s">
        <v>38</v>
      </c>
      <c r="M6" s="42" t="s">
        <v>58</v>
      </c>
      <c r="N6" s="43" t="s">
        <v>157</v>
      </c>
    </row>
    <row r="7" spans="1:20" x14ac:dyDescent="0.25">
      <c r="A7" s="42" t="s">
        <v>33</v>
      </c>
      <c r="B7" s="42" t="s">
        <v>121</v>
      </c>
      <c r="C7" s="42">
        <v>1.292</v>
      </c>
      <c r="D7" s="42" t="s">
        <v>28</v>
      </c>
      <c r="E7" s="42" t="s">
        <v>40</v>
      </c>
      <c r="F7" s="42">
        <v>0.22600000000000001</v>
      </c>
      <c r="G7" s="42" t="s">
        <v>28</v>
      </c>
      <c r="H7" s="42" t="s">
        <v>40</v>
      </c>
      <c r="I7" s="42"/>
      <c r="J7" s="42" t="s">
        <v>77</v>
      </c>
      <c r="K7" s="42"/>
      <c r="L7" s="42" t="s">
        <v>38</v>
      </c>
      <c r="M7" s="42" t="s">
        <v>58</v>
      </c>
      <c r="N7" s="43" t="s">
        <v>162</v>
      </c>
    </row>
    <row r="8" spans="1:20" x14ac:dyDescent="0.25">
      <c r="A8" s="43" t="s">
        <v>494</v>
      </c>
      <c r="B8" s="42" t="s">
        <v>121</v>
      </c>
      <c r="C8" s="55">
        <f>(0.215+0.725)/2</f>
        <v>0.47</v>
      </c>
      <c r="D8" s="42" t="s">
        <v>28</v>
      </c>
      <c r="E8" s="42" t="s">
        <v>40</v>
      </c>
      <c r="F8" s="55">
        <f>(0.027+0.07)/2</f>
        <v>4.8500000000000001E-2</v>
      </c>
      <c r="G8" s="42" t="s">
        <v>28</v>
      </c>
      <c r="H8" s="42" t="s">
        <v>40</v>
      </c>
      <c r="I8" s="42"/>
      <c r="J8" s="42" t="s">
        <v>77</v>
      </c>
      <c r="K8" s="42"/>
      <c r="L8" s="42" t="s">
        <v>38</v>
      </c>
      <c r="M8" s="42" t="s">
        <v>58</v>
      </c>
      <c r="N8" s="40" t="s">
        <v>157</v>
      </c>
    </row>
    <row r="9" spans="1:20" x14ac:dyDescent="0.25">
      <c r="A9" s="43" t="s">
        <v>493</v>
      </c>
      <c r="B9" s="42" t="s">
        <v>121</v>
      </c>
      <c r="C9" s="42">
        <v>2.4E-2</v>
      </c>
      <c r="D9" s="42" t="s">
        <v>28</v>
      </c>
      <c r="E9" s="42" t="s">
        <v>40</v>
      </c>
      <c r="F9" s="42">
        <v>5.0000000000000001E-3</v>
      </c>
      <c r="G9" s="42" t="s">
        <v>28</v>
      </c>
      <c r="H9" s="42" t="s">
        <v>40</v>
      </c>
      <c r="I9" s="42"/>
      <c r="J9" s="42" t="s">
        <v>77</v>
      </c>
      <c r="K9" s="42"/>
      <c r="L9" s="42" t="s">
        <v>38</v>
      </c>
      <c r="M9" s="42" t="s">
        <v>58</v>
      </c>
      <c r="N9" s="40" t="s">
        <v>156</v>
      </c>
    </row>
    <row r="10" spans="1:20" x14ac:dyDescent="0.25">
      <c r="A10" s="43" t="s">
        <v>492</v>
      </c>
      <c r="B10" s="42" t="s">
        <v>121</v>
      </c>
      <c r="C10" s="55">
        <f>(0.027+0.045)/2</f>
        <v>3.5999999999999997E-2</v>
      </c>
      <c r="D10" s="42" t="s">
        <v>28</v>
      </c>
      <c r="E10" s="42" t="s">
        <v>40</v>
      </c>
      <c r="F10" s="55">
        <f>(0.012+0.047)/2</f>
        <v>2.9499999999999998E-2</v>
      </c>
      <c r="G10" s="42" t="s">
        <v>28</v>
      </c>
      <c r="H10" s="42" t="s">
        <v>40</v>
      </c>
      <c r="I10" s="42"/>
      <c r="J10" s="42" t="s">
        <v>77</v>
      </c>
      <c r="K10" s="42"/>
      <c r="L10" s="42" t="s">
        <v>38</v>
      </c>
      <c r="M10" s="42" t="s">
        <v>58</v>
      </c>
      <c r="N10" s="43" t="s">
        <v>162</v>
      </c>
    </row>
    <row r="11" spans="1:20" x14ac:dyDescent="0.25">
      <c r="A11" s="42" t="s">
        <v>227</v>
      </c>
      <c r="B11" s="42" t="s">
        <v>121</v>
      </c>
      <c r="C11" s="42">
        <v>5.9829999999999997</v>
      </c>
      <c r="D11" s="42" t="s">
        <v>28</v>
      </c>
      <c r="E11" s="42" t="s">
        <v>40</v>
      </c>
      <c r="F11" s="42">
        <v>0.185</v>
      </c>
      <c r="G11" s="42" t="s">
        <v>28</v>
      </c>
      <c r="H11" s="42" t="s">
        <v>40</v>
      </c>
      <c r="I11" s="42"/>
      <c r="J11" s="42" t="s">
        <v>77</v>
      </c>
      <c r="K11" s="42"/>
      <c r="L11" s="42" t="s">
        <v>38</v>
      </c>
      <c r="M11" s="42" t="s">
        <v>58</v>
      </c>
      <c r="N11" s="40" t="s">
        <v>157</v>
      </c>
    </row>
    <row r="12" spans="1:20" x14ac:dyDescent="0.25">
      <c r="A12" s="42" t="s">
        <v>228</v>
      </c>
      <c r="B12" s="42" t="s">
        <v>121</v>
      </c>
      <c r="C12" s="42">
        <v>4.2610000000000001</v>
      </c>
      <c r="D12" s="42" t="s">
        <v>28</v>
      </c>
      <c r="E12" s="42" t="s">
        <v>40</v>
      </c>
      <c r="F12" s="42">
        <v>0.27400000000000002</v>
      </c>
      <c r="G12" s="42" t="s">
        <v>28</v>
      </c>
      <c r="H12" s="42" t="s">
        <v>40</v>
      </c>
      <c r="I12" s="42"/>
      <c r="J12" s="42" t="s">
        <v>77</v>
      </c>
      <c r="K12" s="42"/>
      <c r="L12" s="42" t="s">
        <v>38</v>
      </c>
      <c r="M12" s="42" t="s">
        <v>58</v>
      </c>
      <c r="N12" s="40" t="s">
        <v>161</v>
      </c>
    </row>
    <row r="13" spans="1:20" x14ac:dyDescent="0.25">
      <c r="A13" s="42" t="s">
        <v>229</v>
      </c>
      <c r="B13" s="42" t="s">
        <v>121</v>
      </c>
      <c r="C13" s="42">
        <v>6.7000000000000004E-2</v>
      </c>
      <c r="D13" s="42" t="s">
        <v>28</v>
      </c>
      <c r="E13" s="42" t="s">
        <v>40</v>
      </c>
      <c r="F13" s="42">
        <v>9.2999999999999999E-2</v>
      </c>
      <c r="G13" s="42" t="s">
        <v>28</v>
      </c>
      <c r="H13" s="42" t="s">
        <v>40</v>
      </c>
      <c r="I13" s="42"/>
      <c r="J13" s="42" t="s">
        <v>77</v>
      </c>
      <c r="K13" s="42"/>
      <c r="L13" s="42" t="s">
        <v>38</v>
      </c>
      <c r="M13" s="42" t="s">
        <v>58</v>
      </c>
      <c r="N13" s="40" t="s">
        <v>156</v>
      </c>
    </row>
    <row r="14" spans="1:20" x14ac:dyDescent="0.25">
      <c r="A14" s="42" t="s">
        <v>230</v>
      </c>
      <c r="B14" s="42" t="s">
        <v>121</v>
      </c>
      <c r="C14" s="42">
        <v>1.2270000000000001</v>
      </c>
      <c r="D14" s="42" t="s">
        <v>28</v>
      </c>
      <c r="E14" s="42" t="s">
        <v>40</v>
      </c>
      <c r="F14" s="42">
        <v>0.191</v>
      </c>
      <c r="G14" s="42" t="s">
        <v>28</v>
      </c>
      <c r="H14" s="42" t="s">
        <v>40</v>
      </c>
      <c r="I14" s="42"/>
      <c r="J14" s="42" t="s">
        <v>77</v>
      </c>
      <c r="K14" s="42"/>
      <c r="L14" s="42" t="s">
        <v>38</v>
      </c>
      <c r="M14" s="42" t="s">
        <v>58</v>
      </c>
      <c r="N14" s="43" t="s">
        <v>162</v>
      </c>
    </row>
    <row r="15" spans="1:20" x14ac:dyDescent="0.25">
      <c r="A15" s="139" t="s">
        <v>692</v>
      </c>
      <c r="B15" s="42"/>
      <c r="C15" s="42"/>
      <c r="D15" s="42"/>
      <c r="E15" s="42"/>
      <c r="F15" s="42"/>
      <c r="G15" s="42"/>
      <c r="H15" s="42"/>
      <c r="I15" s="42"/>
      <c r="J15" s="42"/>
      <c r="K15" s="42"/>
      <c r="L15" s="42"/>
      <c r="M15" s="42"/>
      <c r="N15" s="43"/>
    </row>
    <row r="16" spans="1:20" x14ac:dyDescent="0.25">
      <c r="A16" s="43" t="s">
        <v>518</v>
      </c>
      <c r="B16" s="42" t="s">
        <v>14</v>
      </c>
      <c r="C16" s="42">
        <v>0.1696</v>
      </c>
      <c r="D16" s="42" t="s">
        <v>28</v>
      </c>
      <c r="E16" s="42" t="s">
        <v>38</v>
      </c>
      <c r="F16" s="42">
        <v>1.9699999999999999E-2</v>
      </c>
      <c r="G16" s="42" t="s">
        <v>28</v>
      </c>
      <c r="H16" s="42" t="s">
        <v>38</v>
      </c>
      <c r="I16" s="42"/>
      <c r="J16" s="42" t="s">
        <v>77</v>
      </c>
      <c r="K16" s="42"/>
      <c r="L16" s="42" t="s">
        <v>38</v>
      </c>
      <c r="M16" s="42" t="s">
        <v>58</v>
      </c>
      <c r="N16" s="40" t="s">
        <v>159</v>
      </c>
    </row>
    <row r="17" spans="1:14" x14ac:dyDescent="0.25">
      <c r="A17" s="42" t="s">
        <v>231</v>
      </c>
      <c r="B17" s="42" t="s">
        <v>14</v>
      </c>
      <c r="C17" s="42">
        <v>0.14230000000000001</v>
      </c>
      <c r="D17" s="42" t="s">
        <v>28</v>
      </c>
      <c r="E17" s="42" t="s">
        <v>38</v>
      </c>
      <c r="F17" s="42">
        <v>4.4299999999999999E-2</v>
      </c>
      <c r="G17" s="42" t="s">
        <v>28</v>
      </c>
      <c r="H17" s="42" t="s">
        <v>38</v>
      </c>
      <c r="I17" s="42"/>
      <c r="J17" s="42" t="s">
        <v>77</v>
      </c>
      <c r="K17" s="42"/>
      <c r="L17" s="42" t="s">
        <v>38</v>
      </c>
      <c r="M17" s="42" t="s">
        <v>58</v>
      </c>
      <c r="N17" s="40" t="s">
        <v>159</v>
      </c>
    </row>
    <row r="18" spans="1:14" x14ac:dyDescent="0.25">
      <c r="A18" s="43" t="s">
        <v>517</v>
      </c>
      <c r="B18" s="42" t="s">
        <v>14</v>
      </c>
      <c r="C18" s="42">
        <v>0.1406</v>
      </c>
      <c r="D18" s="42" t="s">
        <v>28</v>
      </c>
      <c r="E18" s="42" t="s">
        <v>38</v>
      </c>
      <c r="F18" s="42">
        <v>4.58E-2</v>
      </c>
      <c r="G18" s="42" t="s">
        <v>28</v>
      </c>
      <c r="H18" s="42" t="s">
        <v>38</v>
      </c>
      <c r="I18" s="42"/>
      <c r="J18" s="42" t="s">
        <v>77</v>
      </c>
      <c r="K18" s="42"/>
      <c r="L18" s="42" t="s">
        <v>38</v>
      </c>
      <c r="M18" s="42" t="s">
        <v>58</v>
      </c>
      <c r="N18" s="40" t="s">
        <v>159</v>
      </c>
    </row>
    <row r="19" spans="1:14" x14ac:dyDescent="0.25">
      <c r="A19" s="43" t="s">
        <v>516</v>
      </c>
      <c r="B19" s="42" t="s">
        <v>14</v>
      </c>
      <c r="C19" s="42">
        <v>0.1389</v>
      </c>
      <c r="D19" s="42" t="s">
        <v>28</v>
      </c>
      <c r="E19" s="42" t="s">
        <v>38</v>
      </c>
      <c r="F19" s="42">
        <v>4.7300000000000002E-2</v>
      </c>
      <c r="G19" s="42" t="s">
        <v>28</v>
      </c>
      <c r="H19" s="42" t="s">
        <v>38</v>
      </c>
      <c r="I19" s="42"/>
      <c r="J19" s="42" t="s">
        <v>77</v>
      </c>
      <c r="K19" s="42"/>
      <c r="L19" s="42" t="s">
        <v>38</v>
      </c>
      <c r="M19" s="42" t="s">
        <v>58</v>
      </c>
      <c r="N19" s="40" t="s">
        <v>159</v>
      </c>
    </row>
    <row r="20" spans="1:14" x14ac:dyDescent="0.25">
      <c r="A20" s="42" t="s">
        <v>232</v>
      </c>
      <c r="B20" s="42" t="s">
        <v>14</v>
      </c>
      <c r="C20" s="42">
        <v>0.1326</v>
      </c>
      <c r="D20" s="42" t="s">
        <v>28</v>
      </c>
      <c r="E20" s="42" t="s">
        <v>38</v>
      </c>
      <c r="F20" s="42">
        <v>4.99E-2</v>
      </c>
      <c r="G20" s="42" t="s">
        <v>28</v>
      </c>
      <c r="H20" s="42" t="s">
        <v>38</v>
      </c>
      <c r="I20" s="42"/>
      <c r="J20" s="42" t="s">
        <v>77</v>
      </c>
      <c r="K20" s="42"/>
      <c r="L20" s="42" t="s">
        <v>38</v>
      </c>
      <c r="M20" s="42" t="s">
        <v>58</v>
      </c>
      <c r="N20" s="40" t="s">
        <v>159</v>
      </c>
    </row>
    <row r="21" spans="1:14" x14ac:dyDescent="0.25">
      <c r="A21" s="42" t="s">
        <v>233</v>
      </c>
      <c r="B21" s="42" t="s">
        <v>14</v>
      </c>
      <c r="C21" s="42">
        <v>8.0199999999999994E-2</v>
      </c>
      <c r="D21" s="42" t="s">
        <v>28</v>
      </c>
      <c r="E21" s="42" t="s">
        <v>38</v>
      </c>
      <c r="F21" s="42">
        <v>6.2600000000000003E-2</v>
      </c>
      <c r="G21" s="42" t="s">
        <v>28</v>
      </c>
      <c r="H21" s="42" t="s">
        <v>38</v>
      </c>
      <c r="I21" s="42"/>
      <c r="J21" s="42" t="s">
        <v>77</v>
      </c>
      <c r="K21" s="42"/>
      <c r="L21" s="42" t="s">
        <v>38</v>
      </c>
      <c r="M21" s="42" t="s">
        <v>58</v>
      </c>
      <c r="N21" s="40" t="s">
        <v>159</v>
      </c>
    </row>
    <row r="22" spans="1:14" x14ac:dyDescent="0.25">
      <c r="A22" s="42" t="s">
        <v>234</v>
      </c>
      <c r="B22" s="42" t="s">
        <v>14</v>
      </c>
      <c r="C22" s="42">
        <v>7.9500000000000001E-2</v>
      </c>
      <c r="D22" s="42" t="s">
        <v>28</v>
      </c>
      <c r="E22" s="42" t="s">
        <v>38</v>
      </c>
      <c r="F22" s="42">
        <v>6.2700000000000006E-2</v>
      </c>
      <c r="G22" s="42" t="s">
        <v>28</v>
      </c>
      <c r="H22" s="42" t="s">
        <v>38</v>
      </c>
      <c r="I22" s="42"/>
      <c r="J22" s="42" t="s">
        <v>77</v>
      </c>
      <c r="K22" s="42"/>
      <c r="L22" s="42" t="s">
        <v>38</v>
      </c>
      <c r="M22" s="42" t="s">
        <v>58</v>
      </c>
      <c r="N22" s="40" t="s">
        <v>159</v>
      </c>
    </row>
    <row r="23" spans="1:14" x14ac:dyDescent="0.25">
      <c r="A23" s="42" t="s">
        <v>235</v>
      </c>
      <c r="B23" s="42" t="s">
        <v>14</v>
      </c>
      <c r="C23" s="42">
        <v>7.8200000000000006E-2</v>
      </c>
      <c r="D23" s="42" t="s">
        <v>28</v>
      </c>
      <c r="E23" s="42" t="s">
        <v>38</v>
      </c>
      <c r="F23" s="42">
        <v>6.3E-2</v>
      </c>
      <c r="G23" s="42" t="s">
        <v>28</v>
      </c>
      <c r="H23" s="42" t="s">
        <v>38</v>
      </c>
      <c r="I23" s="42"/>
      <c r="J23" s="42" t="s">
        <v>77</v>
      </c>
      <c r="K23" s="42"/>
      <c r="L23" s="42" t="s">
        <v>38</v>
      </c>
      <c r="M23" s="42" t="s">
        <v>58</v>
      </c>
      <c r="N23" s="40" t="s">
        <v>159</v>
      </c>
    </row>
    <row r="24" spans="1:14" x14ac:dyDescent="0.25">
      <c r="A24" s="42" t="s">
        <v>236</v>
      </c>
      <c r="B24" s="42" t="s">
        <v>14</v>
      </c>
      <c r="C24" s="42">
        <v>7.0400000000000004E-2</v>
      </c>
      <c r="D24" s="42" t="s">
        <v>28</v>
      </c>
      <c r="E24" s="42" t="s">
        <v>38</v>
      </c>
      <c r="F24" s="42">
        <v>6.4699999999999994E-2</v>
      </c>
      <c r="G24" s="42" t="s">
        <v>28</v>
      </c>
      <c r="H24" s="42" t="s">
        <v>38</v>
      </c>
      <c r="I24" s="42"/>
      <c r="J24" s="42" t="s">
        <v>77</v>
      </c>
      <c r="K24" s="42"/>
      <c r="L24" s="42" t="s">
        <v>38</v>
      </c>
      <c r="M24" s="42" t="s">
        <v>58</v>
      </c>
      <c r="N24" s="40" t="s">
        <v>159</v>
      </c>
    </row>
    <row r="25" spans="1:14" x14ac:dyDescent="0.25">
      <c r="A25" s="42" t="s">
        <v>237</v>
      </c>
      <c r="B25" s="42" t="s">
        <v>14</v>
      </c>
      <c r="C25" s="42">
        <v>6.1699999999999998E-2</v>
      </c>
      <c r="D25" s="42" t="s">
        <v>28</v>
      </c>
      <c r="E25" s="42" t="s">
        <v>38</v>
      </c>
      <c r="F25" s="42">
        <v>6.0299999999999999E-2</v>
      </c>
      <c r="G25" s="42" t="s">
        <v>28</v>
      </c>
      <c r="H25" s="42" t="s">
        <v>38</v>
      </c>
      <c r="I25" s="42"/>
      <c r="J25" s="42" t="s">
        <v>77</v>
      </c>
      <c r="K25" s="42"/>
      <c r="L25" s="42" t="s">
        <v>38</v>
      </c>
      <c r="M25" s="42" t="s">
        <v>58</v>
      </c>
      <c r="N25" s="40" t="s">
        <v>159</v>
      </c>
    </row>
    <row r="26" spans="1:14" x14ac:dyDescent="0.25">
      <c r="A26" s="42" t="s">
        <v>238</v>
      </c>
      <c r="B26" s="42" t="s">
        <v>14</v>
      </c>
      <c r="C26" s="42">
        <v>5.3100000000000001E-2</v>
      </c>
      <c r="D26" s="42" t="s">
        <v>28</v>
      </c>
      <c r="E26" s="42" t="s">
        <v>38</v>
      </c>
      <c r="F26" s="42">
        <v>5.6000000000000001E-2</v>
      </c>
      <c r="G26" s="42" t="s">
        <v>28</v>
      </c>
      <c r="H26" s="42" t="s">
        <v>38</v>
      </c>
      <c r="I26" s="42"/>
      <c r="J26" s="42" t="s">
        <v>77</v>
      </c>
      <c r="K26" s="42"/>
      <c r="L26" s="42" t="s">
        <v>38</v>
      </c>
      <c r="M26" s="42" t="s">
        <v>58</v>
      </c>
      <c r="N26" s="40" t="s">
        <v>159</v>
      </c>
    </row>
    <row r="27" spans="1:14" x14ac:dyDescent="0.25">
      <c r="A27" s="42" t="s">
        <v>239</v>
      </c>
      <c r="B27" s="42" t="s">
        <v>14</v>
      </c>
      <c r="C27" s="42">
        <v>4.3400000000000001E-2</v>
      </c>
      <c r="D27" s="42" t="s">
        <v>28</v>
      </c>
      <c r="E27" s="42" t="s">
        <v>38</v>
      </c>
      <c r="F27" s="42">
        <v>5.0299999999999997E-2</v>
      </c>
      <c r="G27" s="42" t="s">
        <v>28</v>
      </c>
      <c r="H27" s="42" t="s">
        <v>38</v>
      </c>
      <c r="I27" s="42"/>
      <c r="J27" s="42" t="s">
        <v>77</v>
      </c>
      <c r="K27" s="42"/>
      <c r="L27" s="42" t="s">
        <v>38</v>
      </c>
      <c r="M27" s="42" t="s">
        <v>58</v>
      </c>
      <c r="N27" s="40" t="s">
        <v>159</v>
      </c>
    </row>
    <row r="28" spans="1:14" x14ac:dyDescent="0.25">
      <c r="A28" s="42" t="s">
        <v>240</v>
      </c>
      <c r="B28" s="42" t="s">
        <v>14</v>
      </c>
      <c r="C28" s="42">
        <v>3.3700000000000001E-2</v>
      </c>
      <c r="D28" s="42" t="s">
        <v>28</v>
      </c>
      <c r="E28" s="42" t="s">
        <v>38</v>
      </c>
      <c r="F28" s="42">
        <v>4.4600000000000001E-2</v>
      </c>
      <c r="G28" s="42" t="s">
        <v>28</v>
      </c>
      <c r="H28" s="42" t="s">
        <v>38</v>
      </c>
      <c r="I28" s="42"/>
      <c r="J28" s="42" t="s">
        <v>77</v>
      </c>
      <c r="K28" s="42"/>
      <c r="L28" s="42" t="s">
        <v>38</v>
      </c>
      <c r="M28" s="42" t="s">
        <v>58</v>
      </c>
      <c r="N28" s="40" t="s">
        <v>159</v>
      </c>
    </row>
    <row r="29" spans="1:14" x14ac:dyDescent="0.25">
      <c r="A29" s="42" t="s">
        <v>241</v>
      </c>
      <c r="B29" s="42" t="s">
        <v>14</v>
      </c>
      <c r="C29" s="42">
        <v>2.4E-2</v>
      </c>
      <c r="D29" s="42" t="s">
        <v>28</v>
      </c>
      <c r="E29" s="42" t="s">
        <v>38</v>
      </c>
      <c r="F29" s="42">
        <v>3.8899999999999997E-2</v>
      </c>
      <c r="G29" s="42" t="s">
        <v>28</v>
      </c>
      <c r="H29" s="42" t="s">
        <v>38</v>
      </c>
      <c r="I29" s="42"/>
      <c r="J29" s="42" t="s">
        <v>77</v>
      </c>
      <c r="K29" s="42"/>
      <c r="L29" s="42" t="s">
        <v>38</v>
      </c>
      <c r="M29" s="42" t="s">
        <v>58</v>
      </c>
      <c r="N29" s="40" t="s">
        <v>159</v>
      </c>
    </row>
    <row r="30" spans="1:14" x14ac:dyDescent="0.25">
      <c r="A30" s="42" t="s">
        <v>242</v>
      </c>
      <c r="B30" s="42" t="s">
        <v>14</v>
      </c>
      <c r="C30" s="42">
        <v>2.1499999999999998E-2</v>
      </c>
      <c r="D30" s="42" t="s">
        <v>28</v>
      </c>
      <c r="E30" s="42" t="s">
        <v>38</v>
      </c>
      <c r="F30" s="42">
        <v>3.5499999999999997E-2</v>
      </c>
      <c r="G30" s="42" t="s">
        <v>28</v>
      </c>
      <c r="H30" s="42" t="s">
        <v>38</v>
      </c>
      <c r="I30" s="42"/>
      <c r="J30" s="42" t="s">
        <v>77</v>
      </c>
      <c r="K30" s="42"/>
      <c r="L30" s="42" t="s">
        <v>38</v>
      </c>
      <c r="M30" s="42" t="s">
        <v>58</v>
      </c>
      <c r="N30" s="40" t="s">
        <v>159</v>
      </c>
    </row>
    <row r="31" spans="1:14" x14ac:dyDescent="0.25">
      <c r="A31" s="42" t="s">
        <v>243</v>
      </c>
      <c r="B31" s="42" t="s">
        <v>14</v>
      </c>
      <c r="C31" s="42">
        <v>1.7500000000000002E-2</v>
      </c>
      <c r="D31" s="42" t="s">
        <v>28</v>
      </c>
      <c r="E31" s="42" t="s">
        <v>38</v>
      </c>
      <c r="F31" s="42">
        <v>3.04E-2</v>
      </c>
      <c r="G31" s="42" t="s">
        <v>28</v>
      </c>
      <c r="H31" s="42" t="s">
        <v>38</v>
      </c>
      <c r="I31" s="42"/>
      <c r="J31" s="42" t="s">
        <v>77</v>
      </c>
      <c r="K31" s="42"/>
      <c r="L31" s="42" t="s">
        <v>38</v>
      </c>
      <c r="M31" s="42" t="s">
        <v>58</v>
      </c>
      <c r="N31" s="40" t="s">
        <v>159</v>
      </c>
    </row>
    <row r="32" spans="1:14" x14ac:dyDescent="0.25">
      <c r="A32" s="42" t="s">
        <v>244</v>
      </c>
      <c r="B32" s="42" t="s">
        <v>14</v>
      </c>
      <c r="C32" s="42">
        <v>1.0500000000000001E-2</v>
      </c>
      <c r="D32" s="42" t="s">
        <v>28</v>
      </c>
      <c r="E32" s="42" t="s">
        <v>38</v>
      </c>
      <c r="F32" s="42">
        <v>2.12E-2</v>
      </c>
      <c r="G32" s="42" t="s">
        <v>28</v>
      </c>
      <c r="H32" s="42" t="s">
        <v>38</v>
      </c>
      <c r="I32" s="42"/>
      <c r="J32" s="42" t="s">
        <v>77</v>
      </c>
      <c r="K32" s="42"/>
      <c r="L32" s="42" t="s">
        <v>38</v>
      </c>
      <c r="M32" s="42" t="s">
        <v>58</v>
      </c>
      <c r="N32" s="40" t="s">
        <v>159</v>
      </c>
    </row>
    <row r="33" spans="1:14" x14ac:dyDescent="0.25">
      <c r="A33" s="42" t="s">
        <v>245</v>
      </c>
      <c r="B33" s="42" t="s">
        <v>14</v>
      </c>
      <c r="C33" s="42">
        <v>1.0200000000000001E-2</v>
      </c>
      <c r="D33" s="42" t="s">
        <v>28</v>
      </c>
      <c r="E33" s="42" t="s">
        <v>38</v>
      </c>
      <c r="F33" s="42">
        <v>2.07E-2</v>
      </c>
      <c r="G33" s="42" t="s">
        <v>28</v>
      </c>
      <c r="H33" s="42" t="s">
        <v>38</v>
      </c>
      <c r="I33" s="42"/>
      <c r="J33" s="42" t="s">
        <v>77</v>
      </c>
      <c r="K33" s="42"/>
      <c r="L33" s="42" t="s">
        <v>38</v>
      </c>
      <c r="M33" s="42" t="s">
        <v>58</v>
      </c>
      <c r="N33" s="40" t="s">
        <v>159</v>
      </c>
    </row>
    <row r="34" spans="1:14" x14ac:dyDescent="0.25">
      <c r="A34" s="42" t="s">
        <v>246</v>
      </c>
      <c r="B34" s="42" t="s">
        <v>14</v>
      </c>
      <c r="C34" s="42">
        <v>9.4999999999999998E-3</v>
      </c>
      <c r="D34" s="42" t="s">
        <v>28</v>
      </c>
      <c r="E34" s="42" t="s">
        <v>38</v>
      </c>
      <c r="F34" s="42">
        <v>1.8100000000000002E-2</v>
      </c>
      <c r="G34" s="42" t="s">
        <v>28</v>
      </c>
      <c r="H34" s="42" t="s">
        <v>38</v>
      </c>
      <c r="I34" s="42"/>
      <c r="J34" s="42" t="s">
        <v>77</v>
      </c>
      <c r="K34" s="42"/>
      <c r="L34" s="42" t="s">
        <v>38</v>
      </c>
      <c r="M34" s="42" t="s">
        <v>58</v>
      </c>
      <c r="N34" s="40" t="s">
        <v>159</v>
      </c>
    </row>
    <row r="35" spans="1:14" x14ac:dyDescent="0.25">
      <c r="A35" s="42" t="s">
        <v>247</v>
      </c>
      <c r="B35" s="42" t="s">
        <v>14</v>
      </c>
      <c r="C35" s="42">
        <v>7.7999999999999996E-3</v>
      </c>
      <c r="D35" s="42" t="s">
        <v>28</v>
      </c>
      <c r="E35" s="42" t="s">
        <v>38</v>
      </c>
      <c r="F35" s="42">
        <v>8.5000000000000006E-3</v>
      </c>
      <c r="G35" s="42" t="s">
        <v>28</v>
      </c>
      <c r="H35" s="42" t="s">
        <v>38</v>
      </c>
      <c r="I35" s="42"/>
      <c r="J35" s="42" t="s">
        <v>77</v>
      </c>
      <c r="K35" s="42"/>
      <c r="L35" s="42" t="s">
        <v>38</v>
      </c>
      <c r="M35" s="42" t="s">
        <v>58</v>
      </c>
      <c r="N35" s="40" t="s">
        <v>159</v>
      </c>
    </row>
    <row r="36" spans="1:14" x14ac:dyDescent="0.25">
      <c r="A36" s="42" t="s">
        <v>248</v>
      </c>
      <c r="B36" s="42" t="s">
        <v>14</v>
      </c>
      <c r="C36" s="42">
        <v>7.4999999999999997E-3</v>
      </c>
      <c r="D36" s="42" t="s">
        <v>28</v>
      </c>
      <c r="E36" s="42" t="s">
        <v>38</v>
      </c>
      <c r="F36" s="42">
        <v>6.7000000000000002E-3</v>
      </c>
      <c r="G36" s="42" t="s">
        <v>28</v>
      </c>
      <c r="H36" s="42" t="s">
        <v>38</v>
      </c>
      <c r="I36" s="42"/>
      <c r="J36" s="42" t="s">
        <v>77</v>
      </c>
      <c r="K36" s="42"/>
      <c r="L36" s="42" t="s">
        <v>38</v>
      </c>
      <c r="M36" s="42" t="s">
        <v>58</v>
      </c>
      <c r="N36" s="40" t="s">
        <v>159</v>
      </c>
    </row>
    <row r="37" spans="1:14" x14ac:dyDescent="0.25">
      <c r="A37" s="42" t="s">
        <v>249</v>
      </c>
      <c r="B37" s="42" t="s">
        <v>14</v>
      </c>
      <c r="C37" s="42">
        <v>7.6E-3</v>
      </c>
      <c r="D37" s="42" t="s">
        <v>28</v>
      </c>
      <c r="E37" s="42" t="s">
        <v>38</v>
      </c>
      <c r="F37" s="42">
        <v>7.4999999999999997E-3</v>
      </c>
      <c r="G37" s="42" t="s">
        <v>28</v>
      </c>
      <c r="H37" s="42" t="s">
        <v>38</v>
      </c>
      <c r="I37" s="42"/>
      <c r="J37" s="42" t="s">
        <v>77</v>
      </c>
      <c r="K37" s="42"/>
      <c r="L37" s="42" t="s">
        <v>38</v>
      </c>
      <c r="M37" s="42" t="s">
        <v>58</v>
      </c>
      <c r="N37" s="40" t="s">
        <v>159</v>
      </c>
    </row>
    <row r="38" spans="1:14" x14ac:dyDescent="0.25">
      <c r="A38" s="42" t="s">
        <v>250</v>
      </c>
      <c r="B38" s="42" t="s">
        <v>14</v>
      </c>
      <c r="C38" s="42">
        <v>7.1999999999999998E-3</v>
      </c>
      <c r="D38" s="42" t="s">
        <v>28</v>
      </c>
      <c r="E38" s="42" t="s">
        <v>38</v>
      </c>
      <c r="F38" s="42">
        <v>5.1999999999999998E-3</v>
      </c>
      <c r="G38" s="42" t="s">
        <v>28</v>
      </c>
      <c r="H38" s="42" t="s">
        <v>38</v>
      </c>
      <c r="I38" s="42"/>
      <c r="J38" s="42" t="s">
        <v>77</v>
      </c>
      <c r="K38" s="42"/>
      <c r="L38" s="42" t="s">
        <v>38</v>
      </c>
      <c r="M38" s="42" t="s">
        <v>58</v>
      </c>
      <c r="N38" s="40" t="s">
        <v>159</v>
      </c>
    </row>
    <row r="39" spans="1:14" x14ac:dyDescent="0.25">
      <c r="A39" s="42" t="s">
        <v>251</v>
      </c>
      <c r="B39" s="42" t="s">
        <v>14</v>
      </c>
      <c r="C39" s="42">
        <v>7.1999999999999998E-3</v>
      </c>
      <c r="D39" s="42" t="s">
        <v>28</v>
      </c>
      <c r="E39" s="42" t="s">
        <v>38</v>
      </c>
      <c r="F39" s="42">
        <v>4.8999999999999998E-3</v>
      </c>
      <c r="G39" s="42" t="s">
        <v>28</v>
      </c>
      <c r="H39" s="42" t="s">
        <v>38</v>
      </c>
      <c r="I39" s="42"/>
      <c r="J39" s="42" t="s">
        <v>77</v>
      </c>
      <c r="K39" s="42"/>
      <c r="L39" s="42" t="s">
        <v>38</v>
      </c>
      <c r="M39" s="42" t="s">
        <v>58</v>
      </c>
      <c r="N39" s="40" t="s">
        <v>159</v>
      </c>
    </row>
    <row r="40" spans="1:14" x14ac:dyDescent="0.25">
      <c r="A40" s="42" t="s">
        <v>252</v>
      </c>
      <c r="B40" s="42" t="s">
        <v>14</v>
      </c>
      <c r="C40" s="42">
        <v>7.1000000000000004E-3</v>
      </c>
      <c r="D40" s="42" t="s">
        <v>28</v>
      </c>
      <c r="E40" s="42" t="s">
        <v>38</v>
      </c>
      <c r="F40" s="42">
        <v>4.5999999999999999E-3</v>
      </c>
      <c r="G40" s="42" t="s">
        <v>28</v>
      </c>
      <c r="H40" s="42" t="s">
        <v>38</v>
      </c>
      <c r="I40" s="42"/>
      <c r="J40" s="42" t="s">
        <v>77</v>
      </c>
      <c r="K40" s="42"/>
      <c r="L40" s="42" t="s">
        <v>38</v>
      </c>
      <c r="M40" s="42" t="s">
        <v>58</v>
      </c>
      <c r="N40" s="40" t="s">
        <v>159</v>
      </c>
    </row>
    <row r="41" spans="1:14" x14ac:dyDescent="0.25">
      <c r="A41" s="42" t="s">
        <v>253</v>
      </c>
      <c r="B41" s="42" t="s">
        <v>14</v>
      </c>
      <c r="C41" s="42">
        <v>7.1000000000000004E-3</v>
      </c>
      <c r="D41" s="42" t="s">
        <v>28</v>
      </c>
      <c r="E41" s="42" t="s">
        <v>38</v>
      </c>
      <c r="F41" s="42">
        <v>4.5999999999999999E-3</v>
      </c>
      <c r="G41" s="42" t="s">
        <v>28</v>
      </c>
      <c r="H41" s="42" t="s">
        <v>38</v>
      </c>
      <c r="I41" s="42"/>
      <c r="J41" s="42" t="s">
        <v>77</v>
      </c>
      <c r="K41" s="42"/>
      <c r="L41" s="42" t="s">
        <v>38</v>
      </c>
      <c r="M41" s="42" t="s">
        <v>58</v>
      </c>
      <c r="N41" s="40" t="s">
        <v>159</v>
      </c>
    </row>
    <row r="42" spans="1:14" x14ac:dyDescent="0.25">
      <c r="A42" s="42" t="s">
        <v>254</v>
      </c>
      <c r="B42" s="42" t="s">
        <v>14</v>
      </c>
      <c r="C42" s="42">
        <v>7.1000000000000004E-3</v>
      </c>
      <c r="D42" s="42" t="s">
        <v>28</v>
      </c>
      <c r="E42" s="42" t="s">
        <v>38</v>
      </c>
      <c r="F42" s="42">
        <v>4.5999999999999999E-3</v>
      </c>
      <c r="G42" s="42" t="s">
        <v>28</v>
      </c>
      <c r="H42" s="42" t="s">
        <v>38</v>
      </c>
      <c r="I42" s="42"/>
      <c r="J42" s="42" t="s">
        <v>77</v>
      </c>
      <c r="K42" s="42"/>
      <c r="L42" s="42" t="s">
        <v>38</v>
      </c>
      <c r="M42" s="42" t="s">
        <v>58</v>
      </c>
      <c r="N42" s="40" t="s">
        <v>159</v>
      </c>
    </row>
    <row r="43" spans="1:14" x14ac:dyDescent="0.25">
      <c r="A43" s="42" t="s">
        <v>255</v>
      </c>
      <c r="B43" s="42" t="s">
        <v>14</v>
      </c>
      <c r="C43" s="42">
        <v>7.1000000000000004E-3</v>
      </c>
      <c r="D43" s="42" t="s">
        <v>28</v>
      </c>
      <c r="E43" s="42" t="s">
        <v>38</v>
      </c>
      <c r="F43" s="42">
        <v>4.5999999999999999E-3</v>
      </c>
      <c r="G43" s="42" t="s">
        <v>28</v>
      </c>
      <c r="H43" s="42" t="s">
        <v>38</v>
      </c>
      <c r="I43" s="42"/>
      <c r="J43" s="42" t="s">
        <v>77</v>
      </c>
      <c r="K43" s="42"/>
      <c r="L43" s="42" t="s">
        <v>38</v>
      </c>
      <c r="M43" s="42" t="s">
        <v>58</v>
      </c>
      <c r="N43" s="40" t="s">
        <v>159</v>
      </c>
    </row>
    <row r="44" spans="1:14" x14ac:dyDescent="0.25">
      <c r="A44" s="42" t="s">
        <v>256</v>
      </c>
      <c r="B44" s="42" t="s">
        <v>14</v>
      </c>
      <c r="C44" s="42">
        <v>7.1000000000000004E-3</v>
      </c>
      <c r="D44" s="42" t="s">
        <v>28</v>
      </c>
      <c r="E44" s="42" t="s">
        <v>38</v>
      </c>
      <c r="F44" s="42">
        <v>4.5999999999999999E-3</v>
      </c>
      <c r="G44" s="42" t="s">
        <v>28</v>
      </c>
      <c r="H44" s="42" t="s">
        <v>38</v>
      </c>
      <c r="I44" s="42"/>
      <c r="J44" s="42" t="s">
        <v>77</v>
      </c>
      <c r="K44" s="42"/>
      <c r="L44" s="42" t="s">
        <v>38</v>
      </c>
      <c r="M44" s="42" t="s">
        <v>58</v>
      </c>
      <c r="N44" s="40" t="s">
        <v>159</v>
      </c>
    </row>
    <row r="45" spans="1:14" x14ac:dyDescent="0.25">
      <c r="A45" s="42" t="s">
        <v>257</v>
      </c>
      <c r="B45" s="42" t="s">
        <v>14</v>
      </c>
      <c r="C45" s="42">
        <v>7.1000000000000004E-3</v>
      </c>
      <c r="D45" s="42" t="s">
        <v>28</v>
      </c>
      <c r="E45" s="42" t="s">
        <v>38</v>
      </c>
      <c r="F45" s="42">
        <v>4.5999999999999999E-3</v>
      </c>
      <c r="G45" s="42" t="s">
        <v>28</v>
      </c>
      <c r="H45" s="42" t="s">
        <v>38</v>
      </c>
      <c r="I45" s="42"/>
      <c r="J45" s="42" t="s">
        <v>77</v>
      </c>
      <c r="K45" s="42"/>
      <c r="L45" s="42" t="s">
        <v>38</v>
      </c>
      <c r="M45" s="42" t="s">
        <v>58</v>
      </c>
      <c r="N45" s="40" t="s">
        <v>159</v>
      </c>
    </row>
    <row r="46" spans="1:14" x14ac:dyDescent="0.25">
      <c r="A46" s="42" t="s">
        <v>258</v>
      </c>
      <c r="B46" s="42" t="s">
        <v>14</v>
      </c>
      <c r="C46" s="42">
        <v>6.7999999999999996E-3</v>
      </c>
      <c r="D46" s="42" t="s">
        <v>28</v>
      </c>
      <c r="E46" s="42" t="s">
        <v>38</v>
      </c>
      <c r="F46" s="42">
        <v>4.1999999999999997E-3</v>
      </c>
      <c r="G46" s="42" t="s">
        <v>28</v>
      </c>
      <c r="H46" s="42" t="s">
        <v>38</v>
      </c>
      <c r="I46" s="42"/>
      <c r="J46" s="42" t="s">
        <v>77</v>
      </c>
      <c r="K46" s="42"/>
      <c r="L46" s="42" t="s">
        <v>38</v>
      </c>
      <c r="M46" s="42" t="s">
        <v>58</v>
      </c>
      <c r="N46" s="40" t="s">
        <v>159</v>
      </c>
    </row>
    <row r="47" spans="1:14" x14ac:dyDescent="0.25">
      <c r="A47" s="42" t="s">
        <v>259</v>
      </c>
      <c r="B47" s="42" t="s">
        <v>14</v>
      </c>
      <c r="C47" s="42">
        <v>6.4999999999999997E-3</v>
      </c>
      <c r="D47" s="42" t="s">
        <v>28</v>
      </c>
      <c r="E47" s="42" t="s">
        <v>38</v>
      </c>
      <c r="F47" s="42">
        <v>3.8E-3</v>
      </c>
      <c r="G47" s="42" t="s">
        <v>28</v>
      </c>
      <c r="H47" s="42" t="s">
        <v>38</v>
      </c>
      <c r="I47" s="42"/>
      <c r="J47" s="42" t="s">
        <v>77</v>
      </c>
      <c r="K47" s="42"/>
      <c r="L47" s="42" t="s">
        <v>38</v>
      </c>
      <c r="M47" s="42" t="s">
        <v>58</v>
      </c>
      <c r="N47" s="40" t="s">
        <v>159</v>
      </c>
    </row>
    <row r="48" spans="1:14" x14ac:dyDescent="0.25">
      <c r="A48" s="42" t="s">
        <v>260</v>
      </c>
      <c r="B48" s="42" t="s">
        <v>14</v>
      </c>
      <c r="C48" s="42">
        <v>5.4000000000000003E-3</v>
      </c>
      <c r="D48" s="42" t="s">
        <v>28</v>
      </c>
      <c r="E48" s="42" t="s">
        <v>38</v>
      </c>
      <c r="F48" s="42">
        <v>1.8E-3</v>
      </c>
      <c r="G48" s="42" t="s">
        <v>28</v>
      </c>
      <c r="H48" s="42" t="s">
        <v>38</v>
      </c>
      <c r="I48" s="42"/>
      <c r="J48" s="42" t="s">
        <v>77</v>
      </c>
      <c r="K48" s="42"/>
      <c r="L48" s="42" t="s">
        <v>38</v>
      </c>
      <c r="M48" s="42" t="s">
        <v>58</v>
      </c>
      <c r="N48" s="40" t="s">
        <v>159</v>
      </c>
    </row>
    <row r="49" spans="1:14" x14ac:dyDescent="0.25">
      <c r="A49" s="42" t="s">
        <v>261</v>
      </c>
      <c r="B49" s="42" t="s">
        <v>14</v>
      </c>
      <c r="C49" s="42">
        <v>5.1999999999999998E-3</v>
      </c>
      <c r="D49" s="42" t="s">
        <v>28</v>
      </c>
      <c r="E49" s="42" t="s">
        <v>38</v>
      </c>
      <c r="F49" s="42">
        <v>1.6000000000000001E-3</v>
      </c>
      <c r="G49" s="42" t="s">
        <v>28</v>
      </c>
      <c r="H49" s="42" t="s">
        <v>38</v>
      </c>
      <c r="I49" s="42"/>
      <c r="J49" s="42" t="s">
        <v>77</v>
      </c>
      <c r="K49" s="42"/>
      <c r="L49" s="42" t="s">
        <v>38</v>
      </c>
      <c r="M49" s="42" t="s">
        <v>58</v>
      </c>
      <c r="N49" s="40" t="s">
        <v>159</v>
      </c>
    </row>
    <row r="50" spans="1:14" x14ac:dyDescent="0.25">
      <c r="A50" s="42" t="s">
        <v>262</v>
      </c>
      <c r="B50" s="42" t="s">
        <v>14</v>
      </c>
      <c r="C50" s="42">
        <v>5.1000000000000004E-3</v>
      </c>
      <c r="D50" s="42" t="s">
        <v>28</v>
      </c>
      <c r="E50" s="42" t="s">
        <v>38</v>
      </c>
      <c r="F50" s="42">
        <v>1.5E-3</v>
      </c>
      <c r="G50" s="42" t="s">
        <v>28</v>
      </c>
      <c r="H50" s="42" t="s">
        <v>38</v>
      </c>
      <c r="I50" s="42"/>
      <c r="J50" s="42" t="s">
        <v>77</v>
      </c>
      <c r="K50" s="42"/>
      <c r="L50" s="42" t="s">
        <v>38</v>
      </c>
      <c r="M50" s="42" t="s">
        <v>58</v>
      </c>
      <c r="N50" s="40" t="s">
        <v>159</v>
      </c>
    </row>
    <row r="51" spans="1:14" x14ac:dyDescent="0.25">
      <c r="A51" s="42" t="s">
        <v>263</v>
      </c>
      <c r="B51" s="42" t="s">
        <v>14</v>
      </c>
      <c r="C51" s="42">
        <v>5.0000000000000001E-3</v>
      </c>
      <c r="D51" s="42" t="s">
        <v>28</v>
      </c>
      <c r="E51" s="42" t="s">
        <v>38</v>
      </c>
      <c r="F51" s="42">
        <v>1.4E-3</v>
      </c>
      <c r="G51" s="42" t="s">
        <v>28</v>
      </c>
      <c r="H51" s="42" t="s">
        <v>38</v>
      </c>
      <c r="I51" s="42"/>
      <c r="J51" s="42" t="s">
        <v>77</v>
      </c>
      <c r="K51" s="42"/>
      <c r="L51" s="42" t="s">
        <v>38</v>
      </c>
      <c r="M51" s="42" t="s">
        <v>58</v>
      </c>
      <c r="N51" s="40" t="s">
        <v>159</v>
      </c>
    </row>
    <row r="52" spans="1:14" x14ac:dyDescent="0.25">
      <c r="A52" s="42" t="s">
        <v>264</v>
      </c>
      <c r="B52" s="42" t="s">
        <v>14</v>
      </c>
      <c r="C52" s="42">
        <v>5.1000000000000004E-3</v>
      </c>
      <c r="D52" s="42" t="s">
        <v>28</v>
      </c>
      <c r="E52" s="42" t="s">
        <v>38</v>
      </c>
      <c r="F52" s="42">
        <v>1.4E-3</v>
      </c>
      <c r="G52" s="42" t="s">
        <v>28</v>
      </c>
      <c r="H52" s="42" t="s">
        <v>38</v>
      </c>
      <c r="I52" s="42"/>
      <c r="J52" s="42" t="s">
        <v>77</v>
      </c>
      <c r="K52" s="42"/>
      <c r="L52" s="42" t="s">
        <v>38</v>
      </c>
      <c r="M52" s="42" t="s">
        <v>58</v>
      </c>
      <c r="N52" s="40" t="s">
        <v>159</v>
      </c>
    </row>
    <row r="53" spans="1:14" x14ac:dyDescent="0.25">
      <c r="A53" s="42" t="s">
        <v>265</v>
      </c>
      <c r="B53" s="42" t="s">
        <v>14</v>
      </c>
      <c r="C53" s="42">
        <v>5.9999999999999995E-4</v>
      </c>
      <c r="D53" s="42" t="s">
        <v>28</v>
      </c>
      <c r="E53" s="42" t="s">
        <v>38</v>
      </c>
      <c r="F53" s="42">
        <v>1.1999999999999999E-3</v>
      </c>
      <c r="G53" s="42" t="s">
        <v>28</v>
      </c>
      <c r="H53" s="42" t="s">
        <v>38</v>
      </c>
      <c r="I53" s="42"/>
      <c r="J53" s="42" t="s">
        <v>77</v>
      </c>
      <c r="K53" s="42"/>
      <c r="L53" s="42" t="s">
        <v>38</v>
      </c>
      <c r="M53" s="42" t="s">
        <v>58</v>
      </c>
      <c r="N53" s="43" t="s">
        <v>160</v>
      </c>
    </row>
    <row r="54" spans="1:14" x14ac:dyDescent="0.25">
      <c r="A54" s="42" t="s">
        <v>266</v>
      </c>
      <c r="B54" s="42" t="s">
        <v>14</v>
      </c>
      <c r="C54" s="42">
        <v>5.0000000000000001E-4</v>
      </c>
      <c r="D54" s="42" t="s">
        <v>28</v>
      </c>
      <c r="E54" s="42" t="s">
        <v>38</v>
      </c>
      <c r="F54" s="42">
        <v>1E-3</v>
      </c>
      <c r="G54" s="42" t="s">
        <v>28</v>
      </c>
      <c r="H54" s="42" t="s">
        <v>38</v>
      </c>
      <c r="I54" s="42"/>
      <c r="J54" s="42" t="s">
        <v>77</v>
      </c>
      <c r="K54" s="42"/>
      <c r="L54" s="42" t="s">
        <v>38</v>
      </c>
      <c r="M54" s="42" t="s">
        <v>58</v>
      </c>
      <c r="N54" s="43" t="s">
        <v>160</v>
      </c>
    </row>
    <row r="55" spans="1:14" x14ac:dyDescent="0.25">
      <c r="A55" s="42" t="s">
        <v>267</v>
      </c>
      <c r="B55" s="42" t="s">
        <v>14</v>
      </c>
      <c r="C55" s="42">
        <v>3.0200000000000001E-2</v>
      </c>
      <c r="D55" s="42" t="s">
        <v>28</v>
      </c>
      <c r="E55" s="42" t="s">
        <v>38</v>
      </c>
      <c r="F55" s="42">
        <v>1.9199999999999998E-2</v>
      </c>
      <c r="G55" s="42" t="s">
        <v>28</v>
      </c>
      <c r="H55" s="42" t="s">
        <v>38</v>
      </c>
      <c r="I55" s="42"/>
      <c r="J55" s="42" t="s">
        <v>77</v>
      </c>
      <c r="K55" s="42"/>
      <c r="L55" s="42" t="s">
        <v>38</v>
      </c>
      <c r="M55" s="42" t="s">
        <v>58</v>
      </c>
      <c r="N55" s="43" t="s">
        <v>160</v>
      </c>
    </row>
    <row r="56" spans="1:14" x14ac:dyDescent="0.25">
      <c r="A56" s="42" t="s">
        <v>268</v>
      </c>
      <c r="B56" s="42" t="s">
        <v>14</v>
      </c>
      <c r="C56" s="42">
        <v>1.2999999999999999E-2</v>
      </c>
      <c r="D56" s="42" t="s">
        <v>28</v>
      </c>
      <c r="E56" s="42" t="s">
        <v>38</v>
      </c>
      <c r="F56" s="42">
        <v>4.0000000000000001E-3</v>
      </c>
      <c r="G56" s="42" t="s">
        <v>28</v>
      </c>
      <c r="H56" s="42" t="s">
        <v>38</v>
      </c>
      <c r="I56" s="42"/>
      <c r="J56" s="42" t="s">
        <v>77</v>
      </c>
      <c r="K56" s="42"/>
      <c r="L56" s="42" t="s">
        <v>38</v>
      </c>
      <c r="M56" s="42" t="s">
        <v>58</v>
      </c>
      <c r="N56" s="43" t="s">
        <v>162</v>
      </c>
    </row>
    <row r="57" spans="1:14" x14ac:dyDescent="0.25">
      <c r="A57" s="42" t="s">
        <v>269</v>
      </c>
      <c r="B57" s="42" t="s">
        <v>14</v>
      </c>
      <c r="C57" s="42">
        <v>0.13300000000000001</v>
      </c>
      <c r="D57" s="42" t="s">
        <v>28</v>
      </c>
      <c r="E57" s="42" t="s">
        <v>38</v>
      </c>
      <c r="F57" s="42">
        <v>4.0000000000000001E-3</v>
      </c>
      <c r="G57" s="42" t="s">
        <v>28</v>
      </c>
      <c r="H57" s="42" t="s">
        <v>38</v>
      </c>
      <c r="I57" s="42"/>
      <c r="J57" s="42" t="s">
        <v>77</v>
      </c>
      <c r="K57" s="42"/>
      <c r="L57" s="42" t="s">
        <v>38</v>
      </c>
      <c r="M57" s="42" t="s">
        <v>58</v>
      </c>
      <c r="N57" s="40" t="s">
        <v>157</v>
      </c>
    </row>
    <row r="58" spans="1:14" x14ac:dyDescent="0.25">
      <c r="A58" s="42" t="s">
        <v>270</v>
      </c>
      <c r="B58" s="42" t="s">
        <v>14</v>
      </c>
      <c r="C58" s="42">
        <v>1.2999999999999999E-2</v>
      </c>
      <c r="D58" s="42" t="s">
        <v>28</v>
      </c>
      <c r="E58" s="42" t="s">
        <v>38</v>
      </c>
      <c r="F58" s="42">
        <v>4.0000000000000001E-3</v>
      </c>
      <c r="G58" s="42" t="s">
        <v>28</v>
      </c>
      <c r="H58" s="42" t="s">
        <v>38</v>
      </c>
      <c r="I58" s="42"/>
      <c r="J58" s="42" t="s">
        <v>77</v>
      </c>
      <c r="K58" s="42"/>
      <c r="L58" s="42" t="s">
        <v>38</v>
      </c>
      <c r="M58" s="42" t="s">
        <v>58</v>
      </c>
      <c r="N58" s="40" t="s">
        <v>156</v>
      </c>
    </row>
    <row r="59" spans="1:14" x14ac:dyDescent="0.25">
      <c r="A59" s="42" t="s">
        <v>271</v>
      </c>
      <c r="B59" s="42" t="s">
        <v>14</v>
      </c>
      <c r="C59" s="42">
        <v>3.5999999999999997E-2</v>
      </c>
      <c r="D59" s="42" t="s">
        <v>28</v>
      </c>
      <c r="E59" s="42" t="s">
        <v>38</v>
      </c>
      <c r="F59" s="42">
        <v>1E-3</v>
      </c>
      <c r="G59" s="42" t="s">
        <v>28</v>
      </c>
      <c r="H59" s="42" t="s">
        <v>38</v>
      </c>
      <c r="I59" s="42"/>
      <c r="J59" s="42" t="s">
        <v>77</v>
      </c>
      <c r="K59" s="42"/>
      <c r="L59" s="42" t="s">
        <v>38</v>
      </c>
      <c r="M59" s="42" t="s">
        <v>58</v>
      </c>
      <c r="N59" s="43" t="s">
        <v>163</v>
      </c>
    </row>
    <row r="60" spans="1:14" x14ac:dyDescent="0.25">
      <c r="A60" s="42" t="s">
        <v>272</v>
      </c>
      <c r="B60" s="42" t="s">
        <v>14</v>
      </c>
      <c r="C60" s="42">
        <v>0.1908</v>
      </c>
      <c r="D60" s="42" t="s">
        <v>28</v>
      </c>
      <c r="E60" s="42" t="s">
        <v>38</v>
      </c>
      <c r="F60" s="42">
        <v>2.18E-2</v>
      </c>
      <c r="G60" s="42" t="s">
        <v>28</v>
      </c>
      <c r="H60" s="42" t="s">
        <v>38</v>
      </c>
      <c r="I60" s="42"/>
      <c r="J60" s="42" t="s">
        <v>77</v>
      </c>
      <c r="K60" s="42"/>
      <c r="L60" s="42" t="s">
        <v>38</v>
      </c>
      <c r="M60" s="42" t="s">
        <v>58</v>
      </c>
      <c r="N60" s="40" t="s">
        <v>159</v>
      </c>
    </row>
    <row r="61" spans="1:14" x14ac:dyDescent="0.25">
      <c r="A61" s="42" t="s">
        <v>273</v>
      </c>
      <c r="B61" s="42" t="s">
        <v>14</v>
      </c>
      <c r="C61" s="42">
        <v>0.16339999999999999</v>
      </c>
      <c r="D61" s="42" t="s">
        <v>28</v>
      </c>
      <c r="E61" s="42" t="s">
        <v>38</v>
      </c>
      <c r="F61" s="42">
        <v>5.1299999999999998E-2</v>
      </c>
      <c r="G61" s="42" t="s">
        <v>28</v>
      </c>
      <c r="H61" s="42" t="s">
        <v>38</v>
      </c>
      <c r="I61" s="42"/>
      <c r="J61" s="42" t="s">
        <v>77</v>
      </c>
      <c r="K61" s="42"/>
      <c r="L61" s="42" t="s">
        <v>38</v>
      </c>
      <c r="M61" s="42" t="s">
        <v>58</v>
      </c>
      <c r="N61" s="40" t="s">
        <v>159</v>
      </c>
    </row>
    <row r="62" spans="1:14" x14ac:dyDescent="0.25">
      <c r="A62" s="42" t="s">
        <v>274</v>
      </c>
      <c r="B62" s="42" t="s">
        <v>14</v>
      </c>
      <c r="C62" s="42">
        <v>0.15939999999999999</v>
      </c>
      <c r="D62" s="42" t="s">
        <v>28</v>
      </c>
      <c r="E62" s="42" t="s">
        <v>38</v>
      </c>
      <c r="F62" s="42">
        <v>5.5500000000000001E-2</v>
      </c>
      <c r="G62" s="42" t="s">
        <v>28</v>
      </c>
      <c r="H62" s="42" t="s">
        <v>38</v>
      </c>
      <c r="I62" s="42"/>
      <c r="J62" s="42" t="s">
        <v>77</v>
      </c>
      <c r="K62" s="42"/>
      <c r="L62" s="42" t="s">
        <v>38</v>
      </c>
      <c r="M62" s="42" t="s">
        <v>58</v>
      </c>
      <c r="N62" s="40" t="s">
        <v>159</v>
      </c>
    </row>
    <row r="63" spans="1:14" x14ac:dyDescent="0.25">
      <c r="A63" s="42" t="s">
        <v>275</v>
      </c>
      <c r="B63" s="42" t="s">
        <v>14</v>
      </c>
      <c r="C63" s="42">
        <v>0.16139999999999999</v>
      </c>
      <c r="D63" s="42" t="s">
        <v>28</v>
      </c>
      <c r="E63" s="42" t="s">
        <v>38</v>
      </c>
      <c r="F63" s="42">
        <v>5.3400000000000003E-2</v>
      </c>
      <c r="G63" s="42" t="s">
        <v>28</v>
      </c>
      <c r="H63" s="42" t="s">
        <v>38</v>
      </c>
      <c r="I63" s="42"/>
      <c r="J63" s="42" t="s">
        <v>77</v>
      </c>
      <c r="K63" s="42"/>
      <c r="L63" s="42" t="s">
        <v>38</v>
      </c>
      <c r="M63" s="42" t="s">
        <v>58</v>
      </c>
      <c r="N63" s="40" t="s">
        <v>159</v>
      </c>
    </row>
    <row r="64" spans="1:14" x14ac:dyDescent="0.25">
      <c r="A64" s="42" t="s">
        <v>276</v>
      </c>
      <c r="B64" s="42" t="s">
        <v>14</v>
      </c>
      <c r="C64" s="42">
        <v>0.15939999999999999</v>
      </c>
      <c r="D64" s="42" t="s">
        <v>28</v>
      </c>
      <c r="E64" s="42" t="s">
        <v>38</v>
      </c>
      <c r="F64" s="42">
        <v>5.5500000000000001E-2</v>
      </c>
      <c r="G64" s="42" t="s">
        <v>28</v>
      </c>
      <c r="H64" s="42" t="s">
        <v>38</v>
      </c>
      <c r="I64" s="42"/>
      <c r="J64" s="42" t="s">
        <v>77</v>
      </c>
      <c r="K64" s="42"/>
      <c r="L64" s="42" t="s">
        <v>38</v>
      </c>
      <c r="M64" s="42" t="s">
        <v>58</v>
      </c>
      <c r="N64" s="40" t="s">
        <v>159</v>
      </c>
    </row>
    <row r="65" spans="1:14" x14ac:dyDescent="0.25">
      <c r="A65" s="42" t="s">
        <v>277</v>
      </c>
      <c r="B65" s="42" t="s">
        <v>14</v>
      </c>
      <c r="C65" s="42">
        <v>0.1479</v>
      </c>
      <c r="D65" s="42" t="s">
        <v>28</v>
      </c>
      <c r="E65" s="42" t="s">
        <v>38</v>
      </c>
      <c r="F65" s="42">
        <v>6.6000000000000003E-2</v>
      </c>
      <c r="G65" s="42" t="s">
        <v>28</v>
      </c>
      <c r="H65" s="42" t="s">
        <v>38</v>
      </c>
      <c r="I65" s="42"/>
      <c r="J65" s="42" t="s">
        <v>77</v>
      </c>
      <c r="K65" s="42"/>
      <c r="L65" s="42" t="s">
        <v>38</v>
      </c>
      <c r="M65" s="42" t="s">
        <v>58</v>
      </c>
      <c r="N65" s="40" t="s">
        <v>159</v>
      </c>
    </row>
    <row r="66" spans="1:14" x14ac:dyDescent="0.25">
      <c r="A66" s="42" t="s">
        <v>278</v>
      </c>
      <c r="B66" s="42" t="s">
        <v>14</v>
      </c>
      <c r="C66" s="42">
        <v>0.14419999999999999</v>
      </c>
      <c r="D66" s="42" t="s">
        <v>28</v>
      </c>
      <c r="E66" s="42" t="s">
        <v>38</v>
      </c>
      <c r="F66" s="42">
        <v>6.8099999999999994E-2</v>
      </c>
      <c r="G66" s="42" t="s">
        <v>28</v>
      </c>
      <c r="H66" s="42" t="s">
        <v>38</v>
      </c>
      <c r="I66" s="42"/>
      <c r="J66" s="42" t="s">
        <v>77</v>
      </c>
      <c r="K66" s="42"/>
      <c r="L66" s="42" t="s">
        <v>38</v>
      </c>
      <c r="M66" s="42" t="s">
        <v>58</v>
      </c>
      <c r="N66" s="40" t="s">
        <v>159</v>
      </c>
    </row>
    <row r="67" spans="1:14" x14ac:dyDescent="0.25">
      <c r="A67" s="42" t="s">
        <v>279</v>
      </c>
      <c r="B67" s="42" t="s">
        <v>14</v>
      </c>
      <c r="C67" s="42">
        <v>0.1368</v>
      </c>
      <c r="D67" s="42" t="s">
        <v>28</v>
      </c>
      <c r="E67" s="42" t="s">
        <v>38</v>
      </c>
      <c r="F67" s="42">
        <v>7.22E-2</v>
      </c>
      <c r="G67" s="42" t="s">
        <v>28</v>
      </c>
      <c r="H67" s="42" t="s">
        <v>38</v>
      </c>
      <c r="I67" s="42"/>
      <c r="J67" s="42" t="s">
        <v>77</v>
      </c>
      <c r="K67" s="42"/>
      <c r="L67" s="42" t="s">
        <v>38</v>
      </c>
      <c r="M67" s="42" t="s">
        <v>58</v>
      </c>
      <c r="N67" s="40" t="s">
        <v>159</v>
      </c>
    </row>
    <row r="68" spans="1:14" x14ac:dyDescent="0.25">
      <c r="A68" s="42" t="s">
        <v>280</v>
      </c>
      <c r="B68" s="42" t="s">
        <v>14</v>
      </c>
      <c r="C68" s="42">
        <v>0.12939999999999999</v>
      </c>
      <c r="D68" s="42" t="s">
        <v>28</v>
      </c>
      <c r="E68" s="42" t="s">
        <v>38</v>
      </c>
      <c r="F68" s="42">
        <v>7.6399999999999996E-2</v>
      </c>
      <c r="G68" s="42" t="s">
        <v>28</v>
      </c>
      <c r="H68" s="42" t="s">
        <v>38</v>
      </c>
      <c r="I68" s="42"/>
      <c r="J68" s="42" t="s">
        <v>77</v>
      </c>
      <c r="K68" s="42"/>
      <c r="L68" s="42" t="s">
        <v>38</v>
      </c>
      <c r="M68" s="42" t="s">
        <v>58</v>
      </c>
      <c r="N68" s="40" t="s">
        <v>159</v>
      </c>
    </row>
    <row r="69" spans="1:14" x14ac:dyDescent="0.25">
      <c r="A69" s="42" t="s">
        <v>281</v>
      </c>
      <c r="B69" s="42" t="s">
        <v>14</v>
      </c>
      <c r="C69" s="42">
        <v>0.122</v>
      </c>
      <c r="D69" s="42" t="s">
        <v>28</v>
      </c>
      <c r="E69" s="42" t="s">
        <v>38</v>
      </c>
      <c r="F69" s="42">
        <v>8.0600000000000005E-2</v>
      </c>
      <c r="G69" s="42" t="s">
        <v>28</v>
      </c>
      <c r="H69" s="42" t="s">
        <v>38</v>
      </c>
      <c r="I69" s="42"/>
      <c r="J69" s="42" t="s">
        <v>77</v>
      </c>
      <c r="K69" s="42"/>
      <c r="L69" s="42" t="s">
        <v>38</v>
      </c>
      <c r="M69" s="42" t="s">
        <v>58</v>
      </c>
      <c r="N69" s="40" t="s">
        <v>159</v>
      </c>
    </row>
    <row r="70" spans="1:14" x14ac:dyDescent="0.25">
      <c r="A70" s="42" t="s">
        <v>282</v>
      </c>
      <c r="B70" s="42" t="s">
        <v>14</v>
      </c>
      <c r="C70" s="42">
        <v>0.11459999999999999</v>
      </c>
      <c r="D70" s="42" t="s">
        <v>28</v>
      </c>
      <c r="E70" s="42" t="s">
        <v>38</v>
      </c>
      <c r="F70" s="42">
        <v>8.48E-2</v>
      </c>
      <c r="G70" s="42" t="s">
        <v>28</v>
      </c>
      <c r="H70" s="42" t="s">
        <v>38</v>
      </c>
      <c r="I70" s="42"/>
      <c r="J70" s="42" t="s">
        <v>77</v>
      </c>
      <c r="K70" s="42"/>
      <c r="L70" s="42" t="s">
        <v>38</v>
      </c>
      <c r="M70" s="42" t="s">
        <v>58</v>
      </c>
      <c r="N70" s="40" t="s">
        <v>159</v>
      </c>
    </row>
    <row r="71" spans="1:14" x14ac:dyDescent="0.25">
      <c r="A71" s="42" t="s">
        <v>283</v>
      </c>
      <c r="B71" s="42" t="s">
        <v>14</v>
      </c>
      <c r="C71" s="42">
        <v>8.1299999999999997E-2</v>
      </c>
      <c r="D71" s="42" t="s">
        <v>28</v>
      </c>
      <c r="E71" s="42" t="s">
        <v>38</v>
      </c>
      <c r="F71" s="42">
        <v>0.10349999999999999</v>
      </c>
      <c r="G71" s="42" t="s">
        <v>28</v>
      </c>
      <c r="H71" s="42" t="s">
        <v>38</v>
      </c>
      <c r="I71" s="42"/>
      <c r="J71" s="42" t="s">
        <v>77</v>
      </c>
      <c r="K71" s="42"/>
      <c r="L71" s="42" t="s">
        <v>38</v>
      </c>
      <c r="M71" s="42" t="s">
        <v>58</v>
      </c>
      <c r="N71" s="40" t="s">
        <v>159</v>
      </c>
    </row>
    <row r="72" spans="1:14" x14ac:dyDescent="0.25">
      <c r="A72" s="42" t="s">
        <v>284</v>
      </c>
      <c r="B72" s="42" t="s">
        <v>14</v>
      </c>
      <c r="C72" s="42">
        <v>6.4600000000000005E-2</v>
      </c>
      <c r="D72" s="42" t="s">
        <v>28</v>
      </c>
      <c r="E72" s="42" t="s">
        <v>38</v>
      </c>
      <c r="F72" s="42">
        <v>9.8199999999999996E-2</v>
      </c>
      <c r="G72" s="42" t="s">
        <v>28</v>
      </c>
      <c r="H72" s="42" t="s">
        <v>38</v>
      </c>
      <c r="I72" s="42"/>
      <c r="J72" s="42" t="s">
        <v>77</v>
      </c>
      <c r="K72" s="42"/>
      <c r="L72" s="42" t="s">
        <v>38</v>
      </c>
      <c r="M72" s="42" t="s">
        <v>58</v>
      </c>
      <c r="N72" s="40" t="s">
        <v>159</v>
      </c>
    </row>
    <row r="73" spans="1:14" x14ac:dyDescent="0.25">
      <c r="A73" s="42" t="s">
        <v>285</v>
      </c>
      <c r="B73" s="42" t="s">
        <v>14</v>
      </c>
      <c r="C73" s="42">
        <v>5.1700000000000003E-2</v>
      </c>
      <c r="D73" s="42" t="s">
        <v>28</v>
      </c>
      <c r="E73" s="42" t="s">
        <v>38</v>
      </c>
      <c r="F73" s="42">
        <v>9.0800000000000006E-2</v>
      </c>
      <c r="G73" s="42" t="s">
        <v>28</v>
      </c>
      <c r="H73" s="42" t="s">
        <v>38</v>
      </c>
      <c r="I73" s="42"/>
      <c r="J73" s="42" t="s">
        <v>77</v>
      </c>
      <c r="K73" s="42"/>
      <c r="L73" s="42" t="s">
        <v>38</v>
      </c>
      <c r="M73" s="42" t="s">
        <v>58</v>
      </c>
      <c r="N73" s="40" t="s">
        <v>159</v>
      </c>
    </row>
    <row r="74" spans="1:14" x14ac:dyDescent="0.25">
      <c r="A74" s="42" t="s">
        <v>286</v>
      </c>
      <c r="B74" s="42" t="s">
        <v>14</v>
      </c>
      <c r="C74" s="42">
        <v>4.5199999999999997E-2</v>
      </c>
      <c r="D74" s="42" t="s">
        <v>28</v>
      </c>
      <c r="E74" s="42" t="s">
        <v>38</v>
      </c>
      <c r="F74" s="42">
        <v>8.7099999999999997E-2</v>
      </c>
      <c r="G74" s="42" t="s">
        <v>28</v>
      </c>
      <c r="H74" s="42" t="s">
        <v>38</v>
      </c>
      <c r="I74" s="42"/>
      <c r="J74" s="42" t="s">
        <v>77</v>
      </c>
      <c r="K74" s="42"/>
      <c r="L74" s="42" t="s">
        <v>38</v>
      </c>
      <c r="M74" s="42" t="s">
        <v>58</v>
      </c>
      <c r="N74" s="40" t="s">
        <v>159</v>
      </c>
    </row>
    <row r="75" spans="1:14" x14ac:dyDescent="0.25">
      <c r="A75" s="42" t="s">
        <v>287</v>
      </c>
      <c r="B75" s="42" t="s">
        <v>14</v>
      </c>
      <c r="C75" s="42">
        <v>4.5199999999999997E-2</v>
      </c>
      <c r="D75" s="42" t="s">
        <v>28</v>
      </c>
      <c r="E75" s="42" t="s">
        <v>38</v>
      </c>
      <c r="F75" s="42">
        <v>8.7099999999999997E-2</v>
      </c>
      <c r="G75" s="42" t="s">
        <v>28</v>
      </c>
      <c r="H75" s="42" t="s">
        <v>38</v>
      </c>
      <c r="I75" s="42"/>
      <c r="J75" s="42" t="s">
        <v>77</v>
      </c>
      <c r="K75" s="42"/>
      <c r="L75" s="42" t="s">
        <v>38</v>
      </c>
      <c r="M75" s="42" t="s">
        <v>58</v>
      </c>
      <c r="N75" s="40" t="s">
        <v>159</v>
      </c>
    </row>
    <row r="76" spans="1:14" x14ac:dyDescent="0.25">
      <c r="A76" s="42" t="s">
        <v>288</v>
      </c>
      <c r="B76" s="42" t="s">
        <v>14</v>
      </c>
      <c r="C76" s="42">
        <v>4.1200000000000001E-2</v>
      </c>
      <c r="D76" s="42" t="s">
        <v>28</v>
      </c>
      <c r="E76" s="42" t="s">
        <v>38</v>
      </c>
      <c r="F76" s="42">
        <v>7.8700000000000006E-2</v>
      </c>
      <c r="G76" s="42" t="s">
        <v>28</v>
      </c>
      <c r="H76" s="42" t="s">
        <v>38</v>
      </c>
      <c r="I76" s="42"/>
      <c r="J76" s="42" t="s">
        <v>77</v>
      </c>
      <c r="K76" s="42"/>
      <c r="L76" s="42" t="s">
        <v>38</v>
      </c>
      <c r="M76" s="42" t="s">
        <v>58</v>
      </c>
      <c r="N76" s="40" t="s">
        <v>159</v>
      </c>
    </row>
    <row r="77" spans="1:14" x14ac:dyDescent="0.25">
      <c r="A77" s="42" t="s">
        <v>289</v>
      </c>
      <c r="B77" s="42" t="s">
        <v>14</v>
      </c>
      <c r="C77" s="42">
        <v>3.3300000000000003E-2</v>
      </c>
      <c r="D77" s="42" t="s">
        <v>28</v>
      </c>
      <c r="E77" s="42" t="s">
        <v>38</v>
      </c>
      <c r="F77" s="42">
        <v>6.1800000000000001E-2</v>
      </c>
      <c r="G77" s="42" t="s">
        <v>28</v>
      </c>
      <c r="H77" s="42" t="s">
        <v>38</v>
      </c>
      <c r="I77" s="42"/>
      <c r="J77" s="42" t="s">
        <v>77</v>
      </c>
      <c r="K77" s="42"/>
      <c r="L77" s="42" t="s">
        <v>38</v>
      </c>
      <c r="M77" s="42" t="s">
        <v>58</v>
      </c>
      <c r="N77" s="40" t="s">
        <v>159</v>
      </c>
    </row>
    <row r="78" spans="1:14" x14ac:dyDescent="0.25">
      <c r="A78" s="42" t="s">
        <v>290</v>
      </c>
      <c r="B78" s="42" t="s">
        <v>14</v>
      </c>
      <c r="C78" s="42">
        <v>3.4000000000000002E-2</v>
      </c>
      <c r="D78" s="42" t="s">
        <v>28</v>
      </c>
      <c r="E78" s="42" t="s">
        <v>38</v>
      </c>
      <c r="F78" s="42">
        <v>6.3100000000000003E-2</v>
      </c>
      <c r="G78" s="42" t="s">
        <v>28</v>
      </c>
      <c r="H78" s="42" t="s">
        <v>38</v>
      </c>
      <c r="I78" s="42"/>
      <c r="J78" s="42" t="s">
        <v>77</v>
      </c>
      <c r="K78" s="42"/>
      <c r="L78" s="42" t="s">
        <v>38</v>
      </c>
      <c r="M78" s="42" t="s">
        <v>58</v>
      </c>
      <c r="N78" s="40" t="s">
        <v>159</v>
      </c>
    </row>
    <row r="79" spans="1:14" x14ac:dyDescent="0.25">
      <c r="A79" s="42" t="s">
        <v>291</v>
      </c>
      <c r="B79" s="42" t="s">
        <v>14</v>
      </c>
      <c r="C79" s="42">
        <v>2.2100000000000002E-2</v>
      </c>
      <c r="D79" s="42" t="s">
        <v>28</v>
      </c>
      <c r="E79" s="42" t="s">
        <v>38</v>
      </c>
      <c r="F79" s="42">
        <v>3.7900000000000003E-2</v>
      </c>
      <c r="G79" s="42" t="s">
        <v>28</v>
      </c>
      <c r="H79" s="42" t="s">
        <v>38</v>
      </c>
      <c r="I79" s="42"/>
      <c r="J79" s="42" t="s">
        <v>77</v>
      </c>
      <c r="K79" s="42"/>
      <c r="L79" s="42" t="s">
        <v>38</v>
      </c>
      <c r="M79" s="42" t="s">
        <v>58</v>
      </c>
      <c r="N79" s="40" t="s">
        <v>159</v>
      </c>
    </row>
    <row r="80" spans="1:14" x14ac:dyDescent="0.25">
      <c r="A80" s="42" t="s">
        <v>292</v>
      </c>
      <c r="B80" s="42" t="s">
        <v>14</v>
      </c>
      <c r="C80" s="42">
        <v>2.4199999999999999E-2</v>
      </c>
      <c r="D80" s="42" t="s">
        <v>28</v>
      </c>
      <c r="E80" s="42" t="s">
        <v>38</v>
      </c>
      <c r="F80" s="42">
        <v>4.24E-2</v>
      </c>
      <c r="G80" s="42" t="s">
        <v>28</v>
      </c>
      <c r="H80" s="42" t="s">
        <v>38</v>
      </c>
      <c r="I80" s="42"/>
      <c r="J80" s="42" t="s">
        <v>77</v>
      </c>
      <c r="K80" s="42"/>
      <c r="L80" s="42" t="s">
        <v>38</v>
      </c>
      <c r="M80" s="42" t="s">
        <v>58</v>
      </c>
      <c r="N80" s="40" t="s">
        <v>159</v>
      </c>
    </row>
    <row r="81" spans="1:14" x14ac:dyDescent="0.25">
      <c r="A81" s="42" t="s">
        <v>293</v>
      </c>
      <c r="B81" s="42" t="s">
        <v>14</v>
      </c>
      <c r="C81" s="42">
        <v>2.2100000000000002E-2</v>
      </c>
      <c r="D81" s="42" t="s">
        <v>28</v>
      </c>
      <c r="E81" s="42" t="s">
        <v>38</v>
      </c>
      <c r="F81" s="42">
        <v>3.73E-2</v>
      </c>
      <c r="G81" s="42" t="s">
        <v>28</v>
      </c>
      <c r="H81" s="42" t="s">
        <v>38</v>
      </c>
      <c r="I81" s="42"/>
      <c r="J81" s="42" t="s">
        <v>77</v>
      </c>
      <c r="K81" s="42"/>
      <c r="L81" s="42" t="s">
        <v>38</v>
      </c>
      <c r="M81" s="42" t="s">
        <v>58</v>
      </c>
      <c r="N81" s="40" t="s">
        <v>159</v>
      </c>
    </row>
    <row r="82" spans="1:14" x14ac:dyDescent="0.25">
      <c r="A82" s="42" t="s">
        <v>294</v>
      </c>
      <c r="B82" s="42" t="s">
        <v>14</v>
      </c>
      <c r="C82" s="42">
        <v>1.15E-2</v>
      </c>
      <c r="D82" s="42" t="s">
        <v>28</v>
      </c>
      <c r="E82" s="42" t="s">
        <v>38</v>
      </c>
      <c r="F82" s="42">
        <v>8.8000000000000005E-3</v>
      </c>
      <c r="G82" s="42" t="s">
        <v>28</v>
      </c>
      <c r="H82" s="42" t="s">
        <v>38</v>
      </c>
      <c r="I82" s="42"/>
      <c r="J82" s="42" t="s">
        <v>77</v>
      </c>
      <c r="K82" s="42"/>
      <c r="L82" s="42" t="s">
        <v>38</v>
      </c>
      <c r="M82" s="42" t="s">
        <v>58</v>
      </c>
      <c r="N82" s="40" t="s">
        <v>159</v>
      </c>
    </row>
    <row r="83" spans="1:14" x14ac:dyDescent="0.25">
      <c r="A83" s="42" t="s">
        <v>295</v>
      </c>
      <c r="B83" s="42" t="s">
        <v>14</v>
      </c>
      <c r="C83" s="42">
        <v>1.0500000000000001E-2</v>
      </c>
      <c r="D83" s="42" t="s">
        <v>28</v>
      </c>
      <c r="E83" s="42" t="s">
        <v>38</v>
      </c>
      <c r="F83" s="42">
        <v>6.4000000000000003E-3</v>
      </c>
      <c r="G83" s="42" t="s">
        <v>28</v>
      </c>
      <c r="H83" s="42" t="s">
        <v>38</v>
      </c>
      <c r="I83" s="42"/>
      <c r="J83" s="42" t="s">
        <v>77</v>
      </c>
      <c r="K83" s="42"/>
      <c r="L83" s="42" t="s">
        <v>38</v>
      </c>
      <c r="M83" s="42" t="s">
        <v>58</v>
      </c>
      <c r="N83" s="40" t="s">
        <v>159</v>
      </c>
    </row>
    <row r="84" spans="1:14" x14ac:dyDescent="0.25">
      <c r="A84" s="42" t="s">
        <v>296</v>
      </c>
      <c r="B84" s="42" t="s">
        <v>14</v>
      </c>
      <c r="C84" s="42">
        <v>1.0800000000000001E-2</v>
      </c>
      <c r="D84" s="42" t="s">
        <v>28</v>
      </c>
      <c r="E84" s="42" t="s">
        <v>38</v>
      </c>
      <c r="F84" s="42">
        <v>8.0000000000000002E-3</v>
      </c>
      <c r="G84" s="42" t="s">
        <v>28</v>
      </c>
      <c r="H84" s="42" t="s">
        <v>38</v>
      </c>
      <c r="I84" s="42"/>
      <c r="J84" s="42" t="s">
        <v>77</v>
      </c>
      <c r="K84" s="42"/>
      <c r="L84" s="42" t="s">
        <v>38</v>
      </c>
      <c r="M84" s="42" t="s">
        <v>58</v>
      </c>
      <c r="N84" s="40" t="s">
        <v>159</v>
      </c>
    </row>
    <row r="85" spans="1:14" x14ac:dyDescent="0.25">
      <c r="A85" s="42" t="s">
        <v>297</v>
      </c>
      <c r="B85" s="42" t="s">
        <v>14</v>
      </c>
      <c r="C85" s="42">
        <v>1.03E-2</v>
      </c>
      <c r="D85" s="42" t="s">
        <v>28</v>
      </c>
      <c r="E85" s="42" t="s">
        <v>38</v>
      </c>
      <c r="F85" s="42">
        <v>6.1000000000000004E-3</v>
      </c>
      <c r="G85" s="42" t="s">
        <v>28</v>
      </c>
      <c r="H85" s="42" t="s">
        <v>38</v>
      </c>
      <c r="I85" s="42"/>
      <c r="J85" s="42" t="s">
        <v>77</v>
      </c>
      <c r="K85" s="42"/>
      <c r="L85" s="42" t="s">
        <v>38</v>
      </c>
      <c r="M85" s="42" t="s">
        <v>58</v>
      </c>
      <c r="N85" s="40" t="s">
        <v>159</v>
      </c>
    </row>
    <row r="86" spans="1:14" x14ac:dyDescent="0.25">
      <c r="A86" s="42" t="s">
        <v>298</v>
      </c>
      <c r="B86" s="42" t="s">
        <v>14</v>
      </c>
      <c r="C86" s="42">
        <v>9.4999999999999998E-3</v>
      </c>
      <c r="D86" s="42" t="s">
        <v>28</v>
      </c>
      <c r="E86" s="42" t="s">
        <v>38</v>
      </c>
      <c r="F86" s="42">
        <v>3.5999999999999999E-3</v>
      </c>
      <c r="G86" s="42" t="s">
        <v>28</v>
      </c>
      <c r="H86" s="42" t="s">
        <v>38</v>
      </c>
      <c r="I86" s="42"/>
      <c r="J86" s="42" t="s">
        <v>77</v>
      </c>
      <c r="K86" s="42"/>
      <c r="L86" s="42" t="s">
        <v>38</v>
      </c>
      <c r="M86" s="42" t="s">
        <v>58</v>
      </c>
      <c r="N86" s="40" t="s">
        <v>159</v>
      </c>
    </row>
    <row r="87" spans="1:14" x14ac:dyDescent="0.25">
      <c r="A87" s="42" t="s">
        <v>299</v>
      </c>
      <c r="B87" s="42" t="s">
        <v>14</v>
      </c>
      <c r="C87" s="42">
        <v>9.4999999999999998E-3</v>
      </c>
      <c r="D87" s="42" t="s">
        <v>28</v>
      </c>
      <c r="E87" s="42" t="s">
        <v>38</v>
      </c>
      <c r="F87" s="42">
        <v>3.5999999999999999E-3</v>
      </c>
      <c r="G87" s="42" t="s">
        <v>28</v>
      </c>
      <c r="H87" s="42" t="s">
        <v>38</v>
      </c>
      <c r="I87" s="42"/>
      <c r="J87" s="42" t="s">
        <v>77</v>
      </c>
      <c r="K87" s="42"/>
      <c r="L87" s="42" t="s">
        <v>38</v>
      </c>
      <c r="M87" s="42" t="s">
        <v>58</v>
      </c>
      <c r="N87" s="40" t="s">
        <v>159</v>
      </c>
    </row>
    <row r="88" spans="1:14" x14ac:dyDescent="0.25">
      <c r="A88" s="42" t="s">
        <v>300</v>
      </c>
      <c r="B88" s="42" t="s">
        <v>14</v>
      </c>
      <c r="C88" s="42">
        <v>9.4999999999999998E-3</v>
      </c>
      <c r="D88" s="42" t="s">
        <v>28</v>
      </c>
      <c r="E88" s="42" t="s">
        <v>38</v>
      </c>
      <c r="F88" s="42">
        <v>3.5000000000000001E-3</v>
      </c>
      <c r="G88" s="42" t="s">
        <v>28</v>
      </c>
      <c r="H88" s="42" t="s">
        <v>38</v>
      </c>
      <c r="I88" s="42"/>
      <c r="J88" s="42" t="s">
        <v>77</v>
      </c>
      <c r="K88" s="42"/>
      <c r="L88" s="42" t="s">
        <v>38</v>
      </c>
      <c r="M88" s="42" t="s">
        <v>58</v>
      </c>
      <c r="N88" s="40" t="s">
        <v>159</v>
      </c>
    </row>
    <row r="89" spans="1:14" x14ac:dyDescent="0.25">
      <c r="A89" s="42" t="s">
        <v>301</v>
      </c>
      <c r="B89" s="42" t="s">
        <v>14</v>
      </c>
      <c r="C89" s="42">
        <v>9.5999999999999992E-3</v>
      </c>
      <c r="D89" s="42" t="s">
        <v>28</v>
      </c>
      <c r="E89" s="42" t="s">
        <v>38</v>
      </c>
      <c r="F89" s="42">
        <v>3.3999999999999998E-3</v>
      </c>
      <c r="G89" s="42" t="s">
        <v>28</v>
      </c>
      <c r="H89" s="42" t="s">
        <v>38</v>
      </c>
      <c r="I89" s="42"/>
      <c r="J89" s="42" t="s">
        <v>77</v>
      </c>
      <c r="K89" s="42"/>
      <c r="L89" s="42" t="s">
        <v>38</v>
      </c>
      <c r="M89" s="42" t="s">
        <v>58</v>
      </c>
      <c r="N89" s="40" t="s">
        <v>159</v>
      </c>
    </row>
    <row r="90" spans="1:14" x14ac:dyDescent="0.25">
      <c r="A90" s="42" t="s">
        <v>302</v>
      </c>
      <c r="B90" s="42" t="s">
        <v>14</v>
      </c>
      <c r="C90" s="42">
        <v>9.5999999999999992E-3</v>
      </c>
      <c r="D90" s="42" t="s">
        <v>28</v>
      </c>
      <c r="E90" s="42" t="s">
        <v>38</v>
      </c>
      <c r="F90" s="42">
        <v>3.3E-3</v>
      </c>
      <c r="G90" s="42" t="s">
        <v>28</v>
      </c>
      <c r="H90" s="42" t="s">
        <v>38</v>
      </c>
      <c r="I90" s="42"/>
      <c r="J90" s="42" t="s">
        <v>77</v>
      </c>
      <c r="K90" s="42"/>
      <c r="L90" s="42" t="s">
        <v>38</v>
      </c>
      <c r="M90" s="42" t="s">
        <v>58</v>
      </c>
      <c r="N90" s="40" t="s">
        <v>159</v>
      </c>
    </row>
    <row r="91" spans="1:14" x14ac:dyDescent="0.25">
      <c r="A91" s="42" t="s">
        <v>303</v>
      </c>
      <c r="B91" s="42" t="s">
        <v>14</v>
      </c>
      <c r="C91" s="42">
        <v>9.4999999999999998E-3</v>
      </c>
      <c r="D91" s="42" t="s">
        <v>28</v>
      </c>
      <c r="E91" s="42" t="s">
        <v>38</v>
      </c>
      <c r="F91" s="42">
        <v>3.5000000000000001E-3</v>
      </c>
      <c r="G91" s="42" t="s">
        <v>28</v>
      </c>
      <c r="H91" s="42" t="s">
        <v>38</v>
      </c>
      <c r="I91" s="42"/>
      <c r="J91" s="42" t="s">
        <v>77</v>
      </c>
      <c r="K91" s="42"/>
      <c r="L91" s="42" t="s">
        <v>38</v>
      </c>
      <c r="M91" s="42" t="s">
        <v>58</v>
      </c>
      <c r="N91" s="40" t="s">
        <v>159</v>
      </c>
    </row>
    <row r="92" spans="1:14" x14ac:dyDescent="0.25">
      <c r="A92" s="42" t="s">
        <v>304</v>
      </c>
      <c r="B92" s="42" t="s">
        <v>14</v>
      </c>
      <c r="C92" s="42">
        <v>9.4999999999999998E-3</v>
      </c>
      <c r="D92" s="42" t="s">
        <v>28</v>
      </c>
      <c r="E92" s="42" t="s">
        <v>38</v>
      </c>
      <c r="F92" s="42">
        <v>3.3E-3</v>
      </c>
      <c r="G92" s="42" t="s">
        <v>28</v>
      </c>
      <c r="H92" s="42" t="s">
        <v>38</v>
      </c>
      <c r="I92" s="42"/>
      <c r="J92" s="42" t="s">
        <v>77</v>
      </c>
      <c r="K92" s="42"/>
      <c r="L92" s="42" t="s">
        <v>38</v>
      </c>
      <c r="M92" s="42" t="s">
        <v>58</v>
      </c>
      <c r="N92" s="40" t="s">
        <v>159</v>
      </c>
    </row>
    <row r="93" spans="1:14" x14ac:dyDescent="0.25">
      <c r="A93" s="42" t="s">
        <v>305</v>
      </c>
      <c r="B93" s="42" t="s">
        <v>14</v>
      </c>
      <c r="C93" s="42">
        <v>9.4000000000000004E-3</v>
      </c>
      <c r="D93" s="42" t="s">
        <v>28</v>
      </c>
      <c r="E93" s="42" t="s">
        <v>38</v>
      </c>
      <c r="F93" s="42">
        <v>3.0999999999999999E-3</v>
      </c>
      <c r="G93" s="42" t="s">
        <v>28</v>
      </c>
      <c r="H93" s="42" t="s">
        <v>38</v>
      </c>
      <c r="I93" s="42"/>
      <c r="J93" s="42" t="s">
        <v>77</v>
      </c>
      <c r="K93" s="42"/>
      <c r="L93" s="42" t="s">
        <v>38</v>
      </c>
      <c r="M93" s="42" t="s">
        <v>58</v>
      </c>
      <c r="N93" s="40" t="s">
        <v>159</v>
      </c>
    </row>
    <row r="94" spans="1:14" x14ac:dyDescent="0.25">
      <c r="A94" s="42" t="s">
        <v>306</v>
      </c>
      <c r="B94" s="42" t="s">
        <v>14</v>
      </c>
      <c r="C94" s="42">
        <v>9.1000000000000004E-3</v>
      </c>
      <c r="D94" s="42" t="s">
        <v>28</v>
      </c>
      <c r="E94" s="42" t="s">
        <v>38</v>
      </c>
      <c r="F94" s="42">
        <v>2.8999999999999998E-3</v>
      </c>
      <c r="G94" s="42" t="s">
        <v>28</v>
      </c>
      <c r="H94" s="42" t="s">
        <v>38</v>
      </c>
      <c r="I94" s="42"/>
      <c r="J94" s="42" t="s">
        <v>77</v>
      </c>
      <c r="K94" s="42"/>
      <c r="L94" s="42" t="s">
        <v>38</v>
      </c>
      <c r="M94" s="42" t="s">
        <v>58</v>
      </c>
      <c r="N94" s="40" t="s">
        <v>159</v>
      </c>
    </row>
    <row r="95" spans="1:14" x14ac:dyDescent="0.25">
      <c r="A95" s="42" t="s">
        <v>307</v>
      </c>
      <c r="B95" s="42" t="s">
        <v>14</v>
      </c>
      <c r="C95" s="42">
        <v>8.3999999999999995E-3</v>
      </c>
      <c r="D95" s="42" t="s">
        <v>28</v>
      </c>
      <c r="E95" s="42" t="s">
        <v>38</v>
      </c>
      <c r="F95" s="42">
        <v>1.8E-3</v>
      </c>
      <c r="G95" s="42" t="s">
        <v>28</v>
      </c>
      <c r="H95" s="42" t="s">
        <v>38</v>
      </c>
      <c r="I95" s="42"/>
      <c r="J95" s="42" t="s">
        <v>77</v>
      </c>
      <c r="K95" s="42"/>
      <c r="L95" s="42" t="s">
        <v>38</v>
      </c>
      <c r="M95" s="42" t="s">
        <v>58</v>
      </c>
      <c r="N95" s="40" t="s">
        <v>159</v>
      </c>
    </row>
    <row r="96" spans="1:14" x14ac:dyDescent="0.25">
      <c r="A96" s="42" t="s">
        <v>308</v>
      </c>
      <c r="B96" s="42" t="s">
        <v>14</v>
      </c>
      <c r="C96" s="42">
        <v>8.0999999999999996E-3</v>
      </c>
      <c r="D96" s="42" t="s">
        <v>28</v>
      </c>
      <c r="E96" s="42" t="s">
        <v>38</v>
      </c>
      <c r="F96" s="42">
        <v>1.5E-3</v>
      </c>
      <c r="G96" s="42" t="s">
        <v>28</v>
      </c>
      <c r="H96" s="42" t="s">
        <v>38</v>
      </c>
      <c r="I96" s="42"/>
      <c r="J96" s="42" t="s">
        <v>77</v>
      </c>
      <c r="K96" s="42"/>
      <c r="L96" s="42" t="s">
        <v>38</v>
      </c>
      <c r="M96" s="42" t="s">
        <v>58</v>
      </c>
      <c r="N96" s="40" t="s">
        <v>159</v>
      </c>
    </row>
    <row r="97" spans="1:14" x14ac:dyDescent="0.25">
      <c r="A97" s="42" t="s">
        <v>309</v>
      </c>
      <c r="B97" s="42" t="s">
        <v>14</v>
      </c>
      <c r="C97" s="42">
        <v>8.0000000000000002E-3</v>
      </c>
      <c r="D97" s="42" t="s">
        <v>28</v>
      </c>
      <c r="E97" s="42" t="s">
        <v>38</v>
      </c>
      <c r="F97" s="42">
        <v>1.2999999999999999E-3</v>
      </c>
      <c r="G97" s="42" t="s">
        <v>28</v>
      </c>
      <c r="H97" s="42" t="s">
        <v>38</v>
      </c>
      <c r="I97" s="42"/>
      <c r="J97" s="42" t="s">
        <v>77</v>
      </c>
      <c r="K97" s="42"/>
      <c r="L97" s="42" t="s">
        <v>38</v>
      </c>
      <c r="M97" s="42" t="s">
        <v>58</v>
      </c>
      <c r="N97" s="40" t="s">
        <v>159</v>
      </c>
    </row>
    <row r="98" spans="1:14" x14ac:dyDescent="0.25">
      <c r="A98" s="42" t="s">
        <v>310</v>
      </c>
      <c r="B98" s="42" t="s">
        <v>14</v>
      </c>
      <c r="C98" s="42">
        <v>7.9000000000000008E-3</v>
      </c>
      <c r="D98" s="42" t="s">
        <v>28</v>
      </c>
      <c r="E98" s="42" t="s">
        <v>38</v>
      </c>
      <c r="F98" s="42">
        <v>1.1999999999999999E-3</v>
      </c>
      <c r="G98" s="42" t="s">
        <v>28</v>
      </c>
      <c r="H98" s="42" t="s">
        <v>38</v>
      </c>
      <c r="I98" s="42"/>
      <c r="J98" s="42" t="s">
        <v>77</v>
      </c>
      <c r="K98" s="42"/>
      <c r="L98" s="42" t="s">
        <v>38</v>
      </c>
      <c r="M98" s="42" t="s">
        <v>58</v>
      </c>
      <c r="N98" s="40" t="s">
        <v>159</v>
      </c>
    </row>
    <row r="99" spans="1:14" x14ac:dyDescent="0.25">
      <c r="A99" s="42" t="s">
        <v>311</v>
      </c>
      <c r="B99" s="42" t="s">
        <v>14</v>
      </c>
      <c r="C99" s="42">
        <v>7.9000000000000008E-3</v>
      </c>
      <c r="D99" s="42" t="s">
        <v>28</v>
      </c>
      <c r="E99" s="42" t="s">
        <v>38</v>
      </c>
      <c r="F99" s="42">
        <v>1.1999999999999999E-3</v>
      </c>
      <c r="G99" s="42" t="s">
        <v>28</v>
      </c>
      <c r="H99" s="42" t="s">
        <v>38</v>
      </c>
      <c r="I99" s="42"/>
      <c r="J99" s="42" t="s">
        <v>77</v>
      </c>
      <c r="K99" s="42"/>
      <c r="L99" s="42" t="s">
        <v>38</v>
      </c>
      <c r="M99" s="42" t="s">
        <v>58</v>
      </c>
      <c r="N99" s="40" t="s">
        <v>159</v>
      </c>
    </row>
    <row r="100" spans="1:14" x14ac:dyDescent="0.25">
      <c r="A100" s="42" t="s">
        <v>312</v>
      </c>
      <c r="B100" s="42" t="s">
        <v>14</v>
      </c>
      <c r="C100" s="42">
        <v>1.1000000000000001E-3</v>
      </c>
      <c r="D100" s="42" t="s">
        <v>28</v>
      </c>
      <c r="E100" s="42" t="s">
        <v>38</v>
      </c>
      <c r="F100" s="42">
        <v>1.6999999999999999E-3</v>
      </c>
      <c r="G100" s="42" t="s">
        <v>28</v>
      </c>
      <c r="H100" s="42" t="s">
        <v>38</v>
      </c>
      <c r="I100" s="42"/>
      <c r="J100" s="42" t="s">
        <v>77</v>
      </c>
      <c r="K100" s="42"/>
      <c r="L100" s="42" t="s">
        <v>38</v>
      </c>
      <c r="M100" s="42" t="s">
        <v>58</v>
      </c>
      <c r="N100" s="43" t="s">
        <v>160</v>
      </c>
    </row>
    <row r="101" spans="1:14" x14ac:dyDescent="0.25">
      <c r="A101" s="42" t="s">
        <v>313</v>
      </c>
      <c r="B101" s="42" t="s">
        <v>14</v>
      </c>
      <c r="C101" s="42">
        <v>8.9999999999999998E-4</v>
      </c>
      <c r="D101" s="42" t="s">
        <v>28</v>
      </c>
      <c r="E101" s="42" t="s">
        <v>38</v>
      </c>
      <c r="F101" s="42">
        <v>1.4E-3</v>
      </c>
      <c r="G101" s="42" t="s">
        <v>28</v>
      </c>
      <c r="H101" s="42" t="s">
        <v>38</v>
      </c>
      <c r="I101" s="42"/>
      <c r="J101" s="42" t="s">
        <v>77</v>
      </c>
      <c r="K101" s="42"/>
      <c r="L101" s="42" t="s">
        <v>38</v>
      </c>
      <c r="M101" s="42" t="s">
        <v>58</v>
      </c>
      <c r="N101" s="43" t="s">
        <v>160</v>
      </c>
    </row>
    <row r="102" spans="1:14" x14ac:dyDescent="0.25">
      <c r="A102" s="42" t="s">
        <v>314</v>
      </c>
      <c r="B102" s="42" t="s">
        <v>14</v>
      </c>
      <c r="C102" s="42">
        <v>2.9000000000000001E-2</v>
      </c>
      <c r="D102" s="42" t="s">
        <v>28</v>
      </c>
      <c r="E102" s="42" t="s">
        <v>38</v>
      </c>
      <c r="F102" s="42">
        <v>2.1399999999999999E-2</v>
      </c>
      <c r="G102" s="42" t="s">
        <v>28</v>
      </c>
      <c r="H102" s="42" t="s">
        <v>38</v>
      </c>
      <c r="I102" s="42"/>
      <c r="J102" s="42" t="s">
        <v>77</v>
      </c>
      <c r="K102" s="42"/>
      <c r="L102" s="42" t="s">
        <v>38</v>
      </c>
      <c r="M102" s="42" t="s">
        <v>58</v>
      </c>
      <c r="N102" s="43" t="s">
        <v>160</v>
      </c>
    </row>
    <row r="103" spans="1:14" x14ac:dyDescent="0.25">
      <c r="A103" s="42" t="s">
        <v>315</v>
      </c>
      <c r="B103" s="42" t="s">
        <v>14</v>
      </c>
      <c r="C103" s="42">
        <v>1.4E-2</v>
      </c>
      <c r="D103" s="42" t="s">
        <v>28</v>
      </c>
      <c r="E103" s="42" t="s">
        <v>38</v>
      </c>
      <c r="F103" s="42">
        <v>5.0000000000000001E-3</v>
      </c>
      <c r="G103" s="42" t="s">
        <v>28</v>
      </c>
      <c r="H103" s="42" t="s">
        <v>38</v>
      </c>
      <c r="I103" s="42"/>
      <c r="J103" s="42" t="s">
        <v>77</v>
      </c>
      <c r="K103" s="42"/>
      <c r="L103" s="42" t="s">
        <v>38</v>
      </c>
      <c r="M103" s="42" t="s">
        <v>58</v>
      </c>
      <c r="N103" s="43" t="s">
        <v>162</v>
      </c>
    </row>
    <row r="104" spans="1:14" x14ac:dyDescent="0.25">
      <c r="A104" s="42" t="s">
        <v>316</v>
      </c>
      <c r="B104" s="42" t="s">
        <v>14</v>
      </c>
      <c r="C104" s="42">
        <v>0.14399999999999999</v>
      </c>
      <c r="D104" s="42" t="s">
        <v>28</v>
      </c>
      <c r="E104" s="42" t="s">
        <v>38</v>
      </c>
      <c r="F104" s="42">
        <v>5.0000000000000001E-3</v>
      </c>
      <c r="G104" s="42" t="s">
        <v>28</v>
      </c>
      <c r="H104" s="42" t="s">
        <v>38</v>
      </c>
      <c r="I104" s="42"/>
      <c r="J104" s="42" t="s">
        <v>77</v>
      </c>
      <c r="K104" s="42"/>
      <c r="L104" s="42" t="s">
        <v>38</v>
      </c>
      <c r="M104" s="42" t="s">
        <v>58</v>
      </c>
      <c r="N104" s="40" t="s">
        <v>157</v>
      </c>
    </row>
    <row r="105" spans="1:14" x14ac:dyDescent="0.25">
      <c r="A105" s="42" t="s">
        <v>317</v>
      </c>
      <c r="B105" s="42" t="s">
        <v>14</v>
      </c>
      <c r="C105" s="42">
        <v>1.4E-2</v>
      </c>
      <c r="D105" s="42" t="s">
        <v>28</v>
      </c>
      <c r="E105" s="42" t="s">
        <v>38</v>
      </c>
      <c r="F105" s="42">
        <v>5.0000000000000001E-3</v>
      </c>
      <c r="G105" s="42" t="s">
        <v>28</v>
      </c>
      <c r="H105" s="42" t="s">
        <v>38</v>
      </c>
      <c r="I105" s="42"/>
      <c r="J105" s="42" t="s">
        <v>77</v>
      </c>
      <c r="K105" s="42"/>
      <c r="L105" s="42" t="s">
        <v>38</v>
      </c>
      <c r="M105" s="42" t="s">
        <v>58</v>
      </c>
      <c r="N105" s="40" t="s">
        <v>156</v>
      </c>
    </row>
    <row r="106" spans="1:14" x14ac:dyDescent="0.25">
      <c r="A106" s="42" t="s">
        <v>318</v>
      </c>
      <c r="B106" s="42" t="s">
        <v>14</v>
      </c>
      <c r="C106" s="42">
        <v>0.14399999999999999</v>
      </c>
      <c r="D106" s="42" t="s">
        <v>28</v>
      </c>
      <c r="E106" s="42" t="s">
        <v>38</v>
      </c>
      <c r="F106" s="42">
        <v>5.0000000000000001E-3</v>
      </c>
      <c r="G106" s="42" t="s">
        <v>28</v>
      </c>
      <c r="H106" s="42" t="s">
        <v>38</v>
      </c>
      <c r="I106" s="42"/>
      <c r="J106" s="42" t="s">
        <v>77</v>
      </c>
      <c r="K106" s="42"/>
      <c r="L106" s="42" t="s">
        <v>38</v>
      </c>
      <c r="M106" s="42" t="s">
        <v>58</v>
      </c>
      <c r="N106" s="40" t="s">
        <v>161</v>
      </c>
    </row>
    <row r="107" spans="1:14" x14ac:dyDescent="0.25">
      <c r="A107" s="42" t="s">
        <v>319</v>
      </c>
      <c r="B107" s="42" t="s">
        <v>14</v>
      </c>
      <c r="C107" s="42">
        <v>0.127</v>
      </c>
      <c r="D107" s="42" t="s">
        <v>28</v>
      </c>
      <c r="E107" s="42" t="s">
        <v>38</v>
      </c>
      <c r="F107" s="42">
        <v>1E-3</v>
      </c>
      <c r="G107" s="42" t="s">
        <v>28</v>
      </c>
      <c r="H107" s="42" t="s">
        <v>38</v>
      </c>
      <c r="I107" s="42"/>
      <c r="J107" s="42" t="s">
        <v>77</v>
      </c>
      <c r="K107" s="42"/>
      <c r="L107" s="42" t="s">
        <v>38</v>
      </c>
      <c r="M107" s="42" t="s">
        <v>58</v>
      </c>
      <c r="N107" s="43" t="s">
        <v>163</v>
      </c>
    </row>
    <row r="108" spans="1:14" x14ac:dyDescent="0.25">
      <c r="A108" s="42" t="s">
        <v>320</v>
      </c>
      <c r="B108" s="42" t="s">
        <v>14</v>
      </c>
      <c r="C108" s="42">
        <v>1.8069999999999999</v>
      </c>
      <c r="D108" s="42" t="s">
        <v>28</v>
      </c>
      <c r="E108" s="42" t="s">
        <v>38</v>
      </c>
      <c r="F108" s="42">
        <v>3.4000000000000002E-2</v>
      </c>
      <c r="G108" s="42" t="s">
        <v>28</v>
      </c>
      <c r="H108" s="42" t="s">
        <v>38</v>
      </c>
      <c r="I108" s="42"/>
      <c r="J108" s="42" t="s">
        <v>77</v>
      </c>
      <c r="K108" s="42"/>
      <c r="L108" s="42" t="s">
        <v>38</v>
      </c>
      <c r="M108" s="42" t="s">
        <v>58</v>
      </c>
      <c r="N108" s="40" t="s">
        <v>157</v>
      </c>
    </row>
    <row r="109" spans="1:14" x14ac:dyDescent="0.25">
      <c r="A109" s="42" t="s">
        <v>321</v>
      </c>
      <c r="B109" s="42" t="s">
        <v>14</v>
      </c>
      <c r="C109" s="42">
        <v>0.18099999999999999</v>
      </c>
      <c r="D109" s="42" t="s">
        <v>28</v>
      </c>
      <c r="E109" s="42" t="s">
        <v>38</v>
      </c>
      <c r="F109" s="42">
        <v>3.4000000000000002E-2</v>
      </c>
      <c r="G109" s="42" t="s">
        <v>28</v>
      </c>
      <c r="H109" s="42" t="s">
        <v>38</v>
      </c>
      <c r="I109" s="42"/>
      <c r="J109" s="42" t="s">
        <v>77</v>
      </c>
      <c r="K109" s="42"/>
      <c r="L109" s="42" t="s">
        <v>38</v>
      </c>
      <c r="M109" s="42" t="s">
        <v>58</v>
      </c>
      <c r="N109" s="40" t="s">
        <v>156</v>
      </c>
    </row>
    <row r="110" spans="1:14" x14ac:dyDescent="0.25">
      <c r="A110" s="42" t="s">
        <v>322</v>
      </c>
      <c r="B110" s="42" t="s">
        <v>14</v>
      </c>
      <c r="C110" s="42">
        <v>1.8069999999999999</v>
      </c>
      <c r="D110" s="42" t="s">
        <v>28</v>
      </c>
      <c r="E110" s="42" t="s">
        <v>38</v>
      </c>
      <c r="F110" s="42">
        <v>3.4000000000000002E-2</v>
      </c>
      <c r="G110" s="42" t="s">
        <v>28</v>
      </c>
      <c r="H110" s="42" t="s">
        <v>38</v>
      </c>
      <c r="I110" s="42"/>
      <c r="J110" s="42" t="s">
        <v>77</v>
      </c>
      <c r="K110" s="42"/>
      <c r="L110" s="42" t="s">
        <v>38</v>
      </c>
      <c r="M110" s="42" t="s">
        <v>58</v>
      </c>
      <c r="N110" s="40" t="s">
        <v>161</v>
      </c>
    </row>
    <row r="111" spans="1:14" x14ac:dyDescent="0.25">
      <c r="A111" s="42" t="s">
        <v>323</v>
      </c>
      <c r="B111" s="42" t="s">
        <v>14</v>
      </c>
      <c r="C111" s="42">
        <v>0.04</v>
      </c>
      <c r="D111" s="42" t="s">
        <v>28</v>
      </c>
      <c r="E111" s="42" t="s">
        <v>38</v>
      </c>
      <c r="F111" s="42">
        <v>5.0000000000000001E-3</v>
      </c>
      <c r="G111" s="42" t="s">
        <v>28</v>
      </c>
      <c r="H111" s="42" t="s">
        <v>38</v>
      </c>
      <c r="I111" s="42"/>
      <c r="J111" s="42" t="s">
        <v>77</v>
      </c>
      <c r="K111" s="42"/>
      <c r="L111" s="42" t="s">
        <v>38</v>
      </c>
      <c r="M111" s="42" t="s">
        <v>58</v>
      </c>
      <c r="N111" s="43" t="s">
        <v>163</v>
      </c>
    </row>
    <row r="112" spans="1:14" x14ac:dyDescent="0.25">
      <c r="A112" s="42" t="s">
        <v>324</v>
      </c>
      <c r="B112" s="42" t="s">
        <v>14</v>
      </c>
      <c r="C112" s="42">
        <v>5.1000000000000004E-3</v>
      </c>
      <c r="D112" s="42" t="s">
        <v>28</v>
      </c>
      <c r="E112" s="42" t="s">
        <v>38</v>
      </c>
      <c r="F112" s="42">
        <v>4.7999999999999996E-3</v>
      </c>
      <c r="G112" s="42" t="s">
        <v>28</v>
      </c>
      <c r="H112" s="42" t="s">
        <v>38</v>
      </c>
      <c r="I112" s="42"/>
      <c r="J112" s="42" t="s">
        <v>77</v>
      </c>
      <c r="K112" s="42"/>
      <c r="L112" s="42" t="s">
        <v>38</v>
      </c>
      <c r="M112" s="42" t="s">
        <v>58</v>
      </c>
      <c r="N112" s="43" t="s">
        <v>160</v>
      </c>
    </row>
    <row r="113" spans="1:14" x14ac:dyDescent="0.25">
      <c r="A113" s="42" t="s">
        <v>325</v>
      </c>
      <c r="B113" s="42" t="s">
        <v>14</v>
      </c>
      <c r="C113" s="42">
        <v>9.4999999999999998E-3</v>
      </c>
      <c r="D113" s="42" t="s">
        <v>28</v>
      </c>
      <c r="E113" s="42" t="s">
        <v>38</v>
      </c>
      <c r="F113" s="42">
        <v>4.3099999999999999E-2</v>
      </c>
      <c r="G113" s="42" t="s">
        <v>28</v>
      </c>
      <c r="H113" s="42" t="s">
        <v>38</v>
      </c>
      <c r="I113" s="42"/>
      <c r="J113" s="42" t="s">
        <v>77</v>
      </c>
      <c r="K113" s="42"/>
      <c r="L113" s="42" t="s">
        <v>38</v>
      </c>
      <c r="M113" s="42" t="s">
        <v>58</v>
      </c>
      <c r="N113" s="43" t="s">
        <v>160</v>
      </c>
    </row>
    <row r="114" spans="1:14" x14ac:dyDescent="0.25">
      <c r="A114" s="42" t="s">
        <v>326</v>
      </c>
      <c r="B114" s="42" t="s">
        <v>14</v>
      </c>
      <c r="C114" s="42">
        <v>0.46039999999999998</v>
      </c>
      <c r="D114" s="42" t="s">
        <v>28</v>
      </c>
      <c r="E114" s="42" t="s">
        <v>38</v>
      </c>
      <c r="F114" s="42">
        <v>4.9700000000000001E-2</v>
      </c>
      <c r="G114" s="42" t="s">
        <v>28</v>
      </c>
      <c r="H114" s="42" t="s">
        <v>38</v>
      </c>
      <c r="I114" s="42"/>
      <c r="J114" s="42" t="s">
        <v>77</v>
      </c>
      <c r="K114" s="42"/>
      <c r="L114" s="42" t="s">
        <v>38</v>
      </c>
      <c r="M114" s="42" t="s">
        <v>58</v>
      </c>
      <c r="N114" s="40" t="s">
        <v>159</v>
      </c>
    </row>
    <row r="115" spans="1:14" x14ac:dyDescent="0.25">
      <c r="A115" s="42" t="s">
        <v>327</v>
      </c>
      <c r="B115" s="42" t="s">
        <v>14</v>
      </c>
      <c r="C115" s="42">
        <v>0.44919999999999999</v>
      </c>
      <c r="D115" s="42" t="s">
        <v>28</v>
      </c>
      <c r="E115" s="42" t="s">
        <v>38</v>
      </c>
      <c r="F115" s="42">
        <v>5.3800000000000001E-2</v>
      </c>
      <c r="G115" s="42" t="s">
        <v>28</v>
      </c>
      <c r="H115" s="42" t="s">
        <v>38</v>
      </c>
      <c r="I115" s="42"/>
      <c r="J115" s="42" t="s">
        <v>77</v>
      </c>
      <c r="K115" s="42"/>
      <c r="L115" s="42" t="s">
        <v>38</v>
      </c>
      <c r="M115" s="42" t="s">
        <v>58</v>
      </c>
      <c r="N115" s="40" t="s">
        <v>159</v>
      </c>
    </row>
    <row r="116" spans="1:14" x14ac:dyDescent="0.25">
      <c r="A116" s="42" t="s">
        <v>328</v>
      </c>
      <c r="B116" s="42" t="s">
        <v>14</v>
      </c>
      <c r="C116" s="42">
        <v>0.40899999999999997</v>
      </c>
      <c r="D116" s="42" t="s">
        <v>28</v>
      </c>
      <c r="E116" s="42" t="s">
        <v>38</v>
      </c>
      <c r="F116" s="42">
        <v>5.1499999999999997E-2</v>
      </c>
      <c r="G116" s="42" t="s">
        <v>28</v>
      </c>
      <c r="H116" s="42" t="s">
        <v>38</v>
      </c>
      <c r="I116" s="42"/>
      <c r="J116" s="42" t="s">
        <v>77</v>
      </c>
      <c r="K116" s="42"/>
      <c r="L116" s="42" t="s">
        <v>38</v>
      </c>
      <c r="M116" s="42" t="s">
        <v>58</v>
      </c>
      <c r="N116" s="40" t="s">
        <v>159</v>
      </c>
    </row>
    <row r="117" spans="1:14" x14ac:dyDescent="0.25">
      <c r="A117" s="42" t="s">
        <v>329</v>
      </c>
      <c r="B117" s="42" t="s">
        <v>14</v>
      </c>
      <c r="C117" s="42">
        <v>0.36749999999999999</v>
      </c>
      <c r="D117" s="42" t="s">
        <v>28</v>
      </c>
      <c r="E117" s="42" t="s">
        <v>38</v>
      </c>
      <c r="F117" s="42">
        <v>8.4900000000000003E-2</v>
      </c>
      <c r="G117" s="42" t="s">
        <v>28</v>
      </c>
      <c r="H117" s="42" t="s">
        <v>38</v>
      </c>
      <c r="I117" s="42"/>
      <c r="J117" s="42" t="s">
        <v>77</v>
      </c>
      <c r="K117" s="42"/>
      <c r="L117" s="42" t="s">
        <v>38</v>
      </c>
      <c r="M117" s="42" t="s">
        <v>58</v>
      </c>
      <c r="N117" s="40" t="s">
        <v>159</v>
      </c>
    </row>
    <row r="118" spans="1:14" x14ac:dyDescent="0.25">
      <c r="A118" s="42" t="s">
        <v>330</v>
      </c>
      <c r="B118" s="42" t="s">
        <v>14</v>
      </c>
      <c r="C118" s="42">
        <v>0.34920000000000001</v>
      </c>
      <c r="D118" s="42" t="s">
        <v>28</v>
      </c>
      <c r="E118" s="42" t="s">
        <v>38</v>
      </c>
      <c r="F118" s="42">
        <v>9.3299999999999994E-2</v>
      </c>
      <c r="G118" s="42" t="s">
        <v>28</v>
      </c>
      <c r="H118" s="42" t="s">
        <v>38</v>
      </c>
      <c r="I118" s="42"/>
      <c r="J118" s="42" t="s">
        <v>77</v>
      </c>
      <c r="K118" s="42"/>
      <c r="L118" s="42" t="s">
        <v>38</v>
      </c>
      <c r="M118" s="42" t="s">
        <v>58</v>
      </c>
      <c r="N118" s="40" t="s">
        <v>159</v>
      </c>
    </row>
    <row r="119" spans="1:14" x14ac:dyDescent="0.25">
      <c r="A119" s="42" t="s">
        <v>331</v>
      </c>
      <c r="B119" s="42" t="s">
        <v>14</v>
      </c>
      <c r="C119" s="42">
        <v>0.3246</v>
      </c>
      <c r="D119" s="42" t="s">
        <v>28</v>
      </c>
      <c r="E119" s="42" t="s">
        <v>38</v>
      </c>
      <c r="F119" s="42">
        <v>0.1142</v>
      </c>
      <c r="G119" s="42" t="s">
        <v>28</v>
      </c>
      <c r="H119" s="42" t="s">
        <v>38</v>
      </c>
      <c r="I119" s="42"/>
      <c r="J119" s="42" t="s">
        <v>77</v>
      </c>
      <c r="K119" s="42"/>
      <c r="L119" s="42" t="s">
        <v>38</v>
      </c>
      <c r="M119" s="42" t="s">
        <v>58</v>
      </c>
      <c r="N119" s="40" t="s">
        <v>159</v>
      </c>
    </row>
    <row r="120" spans="1:14" x14ac:dyDescent="0.25">
      <c r="A120" s="42" t="s">
        <v>332</v>
      </c>
      <c r="B120" s="42" t="s">
        <v>14</v>
      </c>
      <c r="C120" s="42">
        <v>0.1278</v>
      </c>
      <c r="D120" s="42" t="s">
        <v>28</v>
      </c>
      <c r="E120" s="42" t="s">
        <v>38</v>
      </c>
      <c r="F120" s="42">
        <v>0.16800000000000001</v>
      </c>
      <c r="G120" s="42" t="s">
        <v>28</v>
      </c>
      <c r="H120" s="42" t="s">
        <v>38</v>
      </c>
      <c r="I120" s="42"/>
      <c r="J120" s="42" t="s">
        <v>77</v>
      </c>
      <c r="K120" s="42"/>
      <c r="L120" s="42" t="s">
        <v>38</v>
      </c>
      <c r="M120" s="42" t="s">
        <v>58</v>
      </c>
      <c r="N120" s="40" t="s">
        <v>159</v>
      </c>
    </row>
    <row r="121" spans="1:14" x14ac:dyDescent="0.25">
      <c r="A121" s="42" t="s">
        <v>333</v>
      </c>
      <c r="B121" s="42" t="s">
        <v>14</v>
      </c>
      <c r="C121" s="42">
        <v>9.2399999999999996E-2</v>
      </c>
      <c r="D121" s="42" t="s">
        <v>28</v>
      </c>
      <c r="E121" s="42" t="s">
        <v>38</v>
      </c>
      <c r="F121" s="42">
        <v>0.1726</v>
      </c>
      <c r="G121" s="42" t="s">
        <v>28</v>
      </c>
      <c r="H121" s="42" t="s">
        <v>38</v>
      </c>
      <c r="I121" s="42"/>
      <c r="J121" s="42" t="s">
        <v>77</v>
      </c>
      <c r="K121" s="42"/>
      <c r="L121" s="42" t="s">
        <v>38</v>
      </c>
      <c r="M121" s="42" t="s">
        <v>58</v>
      </c>
      <c r="N121" s="40" t="s">
        <v>159</v>
      </c>
    </row>
    <row r="122" spans="1:14" x14ac:dyDescent="0.25">
      <c r="A122" s="42" t="s">
        <v>334</v>
      </c>
      <c r="B122" s="42" t="s">
        <v>14</v>
      </c>
      <c r="C122" s="42">
        <v>6.5500000000000003E-2</v>
      </c>
      <c r="D122" s="42" t="s">
        <v>28</v>
      </c>
      <c r="E122" s="42" t="s">
        <v>38</v>
      </c>
      <c r="F122" s="42">
        <v>0.17499999999999999</v>
      </c>
      <c r="G122" s="42" t="s">
        <v>28</v>
      </c>
      <c r="H122" s="42" t="s">
        <v>38</v>
      </c>
      <c r="I122" s="42"/>
      <c r="J122" s="42" t="s">
        <v>77</v>
      </c>
      <c r="K122" s="42"/>
      <c r="L122" s="42" t="s">
        <v>38</v>
      </c>
      <c r="M122" s="42" t="s">
        <v>58</v>
      </c>
      <c r="N122" s="40" t="s">
        <v>159</v>
      </c>
    </row>
    <row r="123" spans="1:14" x14ac:dyDescent="0.25">
      <c r="A123" s="42" t="s">
        <v>335</v>
      </c>
      <c r="B123" s="42" t="s">
        <v>14</v>
      </c>
      <c r="C123" s="42">
        <v>6.4799999999999996E-2</v>
      </c>
      <c r="D123" s="42" t="s">
        <v>28</v>
      </c>
      <c r="E123" s="42" t="s">
        <v>38</v>
      </c>
      <c r="F123" s="42">
        <v>0.1724</v>
      </c>
      <c r="G123" s="42" t="s">
        <v>28</v>
      </c>
      <c r="H123" s="42" t="s">
        <v>38</v>
      </c>
      <c r="I123" s="42"/>
      <c r="J123" s="42" t="s">
        <v>77</v>
      </c>
      <c r="K123" s="42"/>
      <c r="L123" s="42" t="s">
        <v>38</v>
      </c>
      <c r="M123" s="42" t="s">
        <v>58</v>
      </c>
      <c r="N123" s="40" t="s">
        <v>159</v>
      </c>
    </row>
    <row r="124" spans="1:14" x14ac:dyDescent="0.25">
      <c r="A124" s="42" t="s">
        <v>336</v>
      </c>
      <c r="B124" s="42" t="s">
        <v>14</v>
      </c>
      <c r="C124" s="42">
        <v>6.3E-2</v>
      </c>
      <c r="D124" s="42" t="s">
        <v>28</v>
      </c>
      <c r="E124" s="42" t="s">
        <v>38</v>
      </c>
      <c r="F124" s="42">
        <v>0.16600000000000001</v>
      </c>
      <c r="G124" s="42" t="s">
        <v>28</v>
      </c>
      <c r="H124" s="42" t="s">
        <v>38</v>
      </c>
      <c r="I124" s="42"/>
      <c r="J124" s="42" t="s">
        <v>77</v>
      </c>
      <c r="K124" s="42"/>
      <c r="L124" s="42" t="s">
        <v>38</v>
      </c>
      <c r="M124" s="42" t="s">
        <v>58</v>
      </c>
      <c r="N124" s="40" t="s">
        <v>159</v>
      </c>
    </row>
    <row r="125" spans="1:14" x14ac:dyDescent="0.25">
      <c r="A125" s="42" t="s">
        <v>337</v>
      </c>
      <c r="B125" s="42" t="s">
        <v>14</v>
      </c>
      <c r="C125" s="42">
        <v>5.7700000000000001E-2</v>
      </c>
      <c r="D125" s="42" t="s">
        <v>28</v>
      </c>
      <c r="E125" s="42" t="s">
        <v>38</v>
      </c>
      <c r="F125" s="42">
        <v>0.14680000000000001</v>
      </c>
      <c r="G125" s="42" t="s">
        <v>28</v>
      </c>
      <c r="H125" s="42" t="s">
        <v>38</v>
      </c>
      <c r="I125" s="42"/>
      <c r="J125" s="42" t="s">
        <v>77</v>
      </c>
      <c r="K125" s="42"/>
      <c r="L125" s="42" t="s">
        <v>38</v>
      </c>
      <c r="M125" s="42" t="s">
        <v>58</v>
      </c>
      <c r="N125" s="40" t="s">
        <v>159</v>
      </c>
    </row>
    <row r="126" spans="1:14" x14ac:dyDescent="0.25">
      <c r="A126" s="42" t="s">
        <v>338</v>
      </c>
      <c r="B126" s="42" t="s">
        <v>14</v>
      </c>
      <c r="C126" s="42">
        <v>6.3399999999999998E-2</v>
      </c>
      <c r="D126" s="42" t="s">
        <v>28</v>
      </c>
      <c r="E126" s="42" t="s">
        <v>38</v>
      </c>
      <c r="F126" s="42">
        <v>0.1673</v>
      </c>
      <c r="G126" s="42" t="s">
        <v>28</v>
      </c>
      <c r="H126" s="42" t="s">
        <v>38</v>
      </c>
      <c r="I126" s="42"/>
      <c r="J126" s="42" t="s">
        <v>77</v>
      </c>
      <c r="K126" s="42"/>
      <c r="L126" s="42" t="s">
        <v>38</v>
      </c>
      <c r="M126" s="42" t="s">
        <v>58</v>
      </c>
      <c r="N126" s="40" t="s">
        <v>159</v>
      </c>
    </row>
    <row r="127" spans="1:14" x14ac:dyDescent="0.25">
      <c r="A127" s="42" t="s">
        <v>339</v>
      </c>
      <c r="B127" s="42" t="s">
        <v>14</v>
      </c>
      <c r="C127" s="42">
        <v>6.0199999999999997E-2</v>
      </c>
      <c r="D127" s="42" t="s">
        <v>28</v>
      </c>
      <c r="E127" s="42" t="s">
        <v>38</v>
      </c>
      <c r="F127" s="42">
        <v>0.15529999999999999</v>
      </c>
      <c r="G127" s="42" t="s">
        <v>28</v>
      </c>
      <c r="H127" s="42" t="s">
        <v>38</v>
      </c>
      <c r="I127" s="42"/>
      <c r="J127" s="42" t="s">
        <v>77</v>
      </c>
      <c r="K127" s="42"/>
      <c r="L127" s="42" t="s">
        <v>38</v>
      </c>
      <c r="M127" s="42" t="s">
        <v>58</v>
      </c>
      <c r="N127" s="40" t="s">
        <v>159</v>
      </c>
    </row>
    <row r="128" spans="1:14" x14ac:dyDescent="0.25">
      <c r="A128" s="42" t="s">
        <v>340</v>
      </c>
      <c r="B128" s="42" t="s">
        <v>14</v>
      </c>
      <c r="C128" s="42">
        <v>2.98E-2</v>
      </c>
      <c r="D128" s="42" t="s">
        <v>28</v>
      </c>
      <c r="E128" s="42" t="s">
        <v>38</v>
      </c>
      <c r="F128" s="42">
        <v>1.6400000000000001E-2</v>
      </c>
      <c r="G128" s="42" t="s">
        <v>28</v>
      </c>
      <c r="H128" s="42" t="s">
        <v>38</v>
      </c>
      <c r="I128" s="42"/>
      <c r="J128" s="42" t="s">
        <v>77</v>
      </c>
      <c r="K128" s="42"/>
      <c r="L128" s="42" t="s">
        <v>38</v>
      </c>
      <c r="M128" s="42" t="s">
        <v>58</v>
      </c>
      <c r="N128" s="40" t="s">
        <v>159</v>
      </c>
    </row>
    <row r="129" spans="1:14" x14ac:dyDescent="0.25">
      <c r="A129" s="42" t="s">
        <v>341</v>
      </c>
      <c r="B129" s="42" t="s">
        <v>14</v>
      </c>
      <c r="C129" s="42">
        <v>2.9700000000000001E-2</v>
      </c>
      <c r="D129" s="42" t="s">
        <v>28</v>
      </c>
      <c r="E129" s="42" t="s">
        <v>38</v>
      </c>
      <c r="F129" s="42">
        <v>8.3000000000000001E-3</v>
      </c>
      <c r="G129" s="42" t="s">
        <v>28</v>
      </c>
      <c r="H129" s="42" t="s">
        <v>38</v>
      </c>
      <c r="I129" s="42"/>
      <c r="J129" s="42" t="s">
        <v>77</v>
      </c>
      <c r="K129" s="42"/>
      <c r="L129" s="42" t="s">
        <v>38</v>
      </c>
      <c r="M129" s="42" t="s">
        <v>58</v>
      </c>
      <c r="N129" s="40" t="s">
        <v>159</v>
      </c>
    </row>
    <row r="130" spans="1:14" x14ac:dyDescent="0.25">
      <c r="A130" s="42" t="s">
        <v>342</v>
      </c>
      <c r="B130" s="42" t="s">
        <v>14</v>
      </c>
      <c r="C130" s="42">
        <v>2.9899999999999999E-2</v>
      </c>
      <c r="D130" s="42" t="s">
        <v>28</v>
      </c>
      <c r="E130" s="42" t="s">
        <v>38</v>
      </c>
      <c r="F130" s="42">
        <v>2.41E-2</v>
      </c>
      <c r="G130" s="42" t="s">
        <v>28</v>
      </c>
      <c r="H130" s="42" t="s">
        <v>38</v>
      </c>
      <c r="I130" s="42"/>
      <c r="J130" s="42" t="s">
        <v>77</v>
      </c>
      <c r="K130" s="42"/>
      <c r="L130" s="42" t="s">
        <v>38</v>
      </c>
      <c r="M130" s="42" t="s">
        <v>58</v>
      </c>
      <c r="N130" s="40" t="s">
        <v>159</v>
      </c>
    </row>
    <row r="131" spans="1:14" x14ac:dyDescent="0.25">
      <c r="A131" s="42" t="s">
        <v>343</v>
      </c>
      <c r="B131" s="42" t="s">
        <v>14</v>
      </c>
      <c r="C131" s="42">
        <v>3.2199999999999999E-2</v>
      </c>
      <c r="D131" s="42" t="s">
        <v>28</v>
      </c>
      <c r="E131" s="42" t="s">
        <v>38</v>
      </c>
      <c r="F131" s="42">
        <v>1.5E-3</v>
      </c>
      <c r="G131" s="42" t="s">
        <v>28</v>
      </c>
      <c r="H131" s="42" t="s">
        <v>38</v>
      </c>
      <c r="I131" s="42"/>
      <c r="J131" s="42" t="s">
        <v>77</v>
      </c>
      <c r="K131" s="42"/>
      <c r="L131" s="42" t="s">
        <v>38</v>
      </c>
      <c r="M131" s="42" t="s">
        <v>58</v>
      </c>
      <c r="N131" s="40" t="s">
        <v>159</v>
      </c>
    </row>
    <row r="132" spans="1:14" x14ac:dyDescent="0.25">
      <c r="A132" s="42" t="s">
        <v>344</v>
      </c>
      <c r="B132" s="42" t="s">
        <v>14</v>
      </c>
      <c r="C132" s="42">
        <v>3.4000000000000002E-2</v>
      </c>
      <c r="D132" s="42" t="s">
        <v>28</v>
      </c>
      <c r="E132" s="42" t="s">
        <v>38</v>
      </c>
      <c r="F132" s="42">
        <v>1.5E-3</v>
      </c>
      <c r="G132" s="42" t="s">
        <v>28</v>
      </c>
      <c r="H132" s="42" t="s">
        <v>38</v>
      </c>
      <c r="I132" s="42"/>
      <c r="J132" s="42" t="s">
        <v>77</v>
      </c>
      <c r="K132" s="42"/>
      <c r="L132" s="42" t="s">
        <v>38</v>
      </c>
      <c r="M132" s="42" t="s">
        <v>58</v>
      </c>
      <c r="N132" s="40" t="s">
        <v>159</v>
      </c>
    </row>
    <row r="133" spans="1:14" x14ac:dyDescent="0.25">
      <c r="A133" s="42" t="s">
        <v>345</v>
      </c>
      <c r="B133" s="42" t="s">
        <v>14</v>
      </c>
      <c r="C133" s="42">
        <v>3.39E-2</v>
      </c>
      <c r="D133" s="42" t="s">
        <v>28</v>
      </c>
      <c r="E133" s="42" t="s">
        <v>38</v>
      </c>
      <c r="F133" s="42">
        <v>1.5E-3</v>
      </c>
      <c r="G133" s="42" t="s">
        <v>28</v>
      </c>
      <c r="H133" s="42" t="s">
        <v>38</v>
      </c>
      <c r="I133" s="42"/>
      <c r="J133" s="42" t="s">
        <v>77</v>
      </c>
      <c r="K133" s="42"/>
      <c r="L133" s="42" t="s">
        <v>38</v>
      </c>
      <c r="M133" s="42" t="s">
        <v>58</v>
      </c>
      <c r="N133" s="40" t="s">
        <v>159</v>
      </c>
    </row>
    <row r="134" spans="1:14" x14ac:dyDescent="0.25">
      <c r="A134" s="42" t="s">
        <v>346</v>
      </c>
      <c r="B134" s="42" t="s">
        <v>14</v>
      </c>
      <c r="C134" s="42">
        <v>3.2000000000000001E-2</v>
      </c>
      <c r="D134" s="42" t="s">
        <v>28</v>
      </c>
      <c r="E134" s="42" t="s">
        <v>38</v>
      </c>
      <c r="F134" s="42">
        <v>1.5E-3</v>
      </c>
      <c r="G134" s="42" t="s">
        <v>28</v>
      </c>
      <c r="H134" s="42" t="s">
        <v>38</v>
      </c>
      <c r="I134" s="42"/>
      <c r="J134" s="42" t="s">
        <v>77</v>
      </c>
      <c r="K134" s="42"/>
      <c r="L134" s="42" t="s">
        <v>38</v>
      </c>
      <c r="M134" s="42" t="s">
        <v>58</v>
      </c>
      <c r="N134" s="40" t="s">
        <v>159</v>
      </c>
    </row>
    <row r="135" spans="1:14" x14ac:dyDescent="0.25">
      <c r="A135" s="42" t="s">
        <v>347</v>
      </c>
      <c r="B135" s="42" t="s">
        <v>14</v>
      </c>
      <c r="C135" s="42">
        <v>3.04E-2</v>
      </c>
      <c r="D135" s="42" t="s">
        <v>28</v>
      </c>
      <c r="E135" s="42" t="s">
        <v>38</v>
      </c>
      <c r="F135" s="42">
        <v>1.5E-3</v>
      </c>
      <c r="G135" s="42" t="s">
        <v>28</v>
      </c>
      <c r="H135" s="42" t="s">
        <v>38</v>
      </c>
      <c r="I135" s="42"/>
      <c r="J135" s="42" t="s">
        <v>77</v>
      </c>
      <c r="K135" s="42"/>
      <c r="L135" s="42" t="s">
        <v>38</v>
      </c>
      <c r="M135" s="42" t="s">
        <v>58</v>
      </c>
      <c r="N135" s="40" t="s">
        <v>159</v>
      </c>
    </row>
    <row r="136" spans="1:14" x14ac:dyDescent="0.25">
      <c r="A136" s="42" t="s">
        <v>348</v>
      </c>
      <c r="B136" s="42" t="s">
        <v>14</v>
      </c>
      <c r="C136" s="42">
        <v>3.1300000000000001E-2</v>
      </c>
      <c r="D136" s="42" t="s">
        <v>28</v>
      </c>
      <c r="E136" s="42" t="s">
        <v>38</v>
      </c>
      <c r="F136" s="42">
        <v>1.5E-3</v>
      </c>
      <c r="G136" s="42" t="s">
        <v>28</v>
      </c>
      <c r="H136" s="42" t="s">
        <v>38</v>
      </c>
      <c r="I136" s="42"/>
      <c r="J136" s="42" t="s">
        <v>77</v>
      </c>
      <c r="K136" s="42"/>
      <c r="L136" s="42" t="s">
        <v>38</v>
      </c>
      <c r="M136" s="42" t="s">
        <v>58</v>
      </c>
      <c r="N136" s="40" t="s">
        <v>159</v>
      </c>
    </row>
    <row r="137" spans="1:14" x14ac:dyDescent="0.25">
      <c r="A137" s="42" t="s">
        <v>349</v>
      </c>
      <c r="B137" s="42" t="s">
        <v>14</v>
      </c>
      <c r="C137" s="42">
        <v>3.1300000000000001E-2</v>
      </c>
      <c r="D137" s="42" t="s">
        <v>28</v>
      </c>
      <c r="E137" s="42" t="s">
        <v>38</v>
      </c>
      <c r="F137" s="42">
        <v>1.5E-3</v>
      </c>
      <c r="G137" s="42" t="s">
        <v>28</v>
      </c>
      <c r="H137" s="42" t="s">
        <v>38</v>
      </c>
      <c r="I137" s="42"/>
      <c r="J137" s="42" t="s">
        <v>77</v>
      </c>
      <c r="K137" s="42"/>
      <c r="L137" s="42" t="s">
        <v>38</v>
      </c>
      <c r="M137" s="42" t="s">
        <v>58</v>
      </c>
      <c r="N137" s="40" t="s">
        <v>159</v>
      </c>
    </row>
    <row r="138" spans="1:14" x14ac:dyDescent="0.25">
      <c r="A138" s="42" t="s">
        <v>350</v>
      </c>
      <c r="B138" s="42" t="s">
        <v>14</v>
      </c>
      <c r="C138" s="42">
        <v>3.15E-2</v>
      </c>
      <c r="D138" s="42" t="s">
        <v>28</v>
      </c>
      <c r="E138" s="42" t="s">
        <v>38</v>
      </c>
      <c r="F138" s="42">
        <v>1.5E-3</v>
      </c>
      <c r="G138" s="42" t="s">
        <v>28</v>
      </c>
      <c r="H138" s="42" t="s">
        <v>38</v>
      </c>
      <c r="I138" s="42"/>
      <c r="J138" s="42" t="s">
        <v>77</v>
      </c>
      <c r="K138" s="42"/>
      <c r="L138" s="42" t="s">
        <v>38</v>
      </c>
      <c r="M138" s="42" t="s">
        <v>58</v>
      </c>
      <c r="N138" s="40" t="s">
        <v>159</v>
      </c>
    </row>
    <row r="139" spans="1:14" x14ac:dyDescent="0.25">
      <c r="A139" s="42" t="s">
        <v>351</v>
      </c>
      <c r="B139" s="42" t="s">
        <v>14</v>
      </c>
      <c r="C139" s="42">
        <v>3.32E-2</v>
      </c>
      <c r="D139" s="42" t="s">
        <v>28</v>
      </c>
      <c r="E139" s="42" t="s">
        <v>38</v>
      </c>
      <c r="F139" s="42">
        <v>2.0999999999999999E-3</v>
      </c>
      <c r="G139" s="42" t="s">
        <v>28</v>
      </c>
      <c r="H139" s="42" t="s">
        <v>38</v>
      </c>
      <c r="I139" s="42"/>
      <c r="J139" s="42" t="s">
        <v>77</v>
      </c>
      <c r="K139" s="42"/>
      <c r="L139" s="42" t="s">
        <v>38</v>
      </c>
      <c r="M139" s="42" t="s">
        <v>58</v>
      </c>
      <c r="N139" s="40" t="s">
        <v>159</v>
      </c>
    </row>
    <row r="140" spans="1:14" x14ac:dyDescent="0.25">
      <c r="A140" s="42" t="s">
        <v>352</v>
      </c>
      <c r="B140" s="42" t="s">
        <v>14</v>
      </c>
      <c r="C140" s="42">
        <v>3.2099999999999997E-2</v>
      </c>
      <c r="D140" s="42" t="s">
        <v>28</v>
      </c>
      <c r="E140" s="42" t="s">
        <v>38</v>
      </c>
      <c r="F140" s="42">
        <v>6.1000000000000004E-3</v>
      </c>
      <c r="G140" s="42" t="s">
        <v>28</v>
      </c>
      <c r="H140" s="42" t="s">
        <v>38</v>
      </c>
      <c r="I140" s="42"/>
      <c r="J140" s="42" t="s">
        <v>77</v>
      </c>
      <c r="K140" s="42"/>
      <c r="L140" s="42" t="s">
        <v>38</v>
      </c>
      <c r="M140" s="42" t="s">
        <v>58</v>
      </c>
      <c r="N140" s="40" t="s">
        <v>159</v>
      </c>
    </row>
    <row r="141" spans="1:14" x14ac:dyDescent="0.25">
      <c r="A141" s="42" t="s">
        <v>353</v>
      </c>
      <c r="B141" s="42" t="s">
        <v>14</v>
      </c>
      <c r="C141" s="42">
        <v>3.2899999999999999E-2</v>
      </c>
      <c r="D141" s="42" t="s">
        <v>28</v>
      </c>
      <c r="E141" s="42" t="s">
        <v>38</v>
      </c>
      <c r="F141" s="42">
        <v>8.3999999999999995E-3</v>
      </c>
      <c r="G141" s="42" t="s">
        <v>28</v>
      </c>
      <c r="H141" s="42" t="s">
        <v>38</v>
      </c>
      <c r="I141" s="42"/>
      <c r="J141" s="42" t="s">
        <v>77</v>
      </c>
      <c r="K141" s="42"/>
      <c r="L141" s="42" t="s">
        <v>38</v>
      </c>
      <c r="M141" s="42" t="s">
        <v>58</v>
      </c>
      <c r="N141" s="40" t="s">
        <v>159</v>
      </c>
    </row>
    <row r="142" spans="1:14" x14ac:dyDescent="0.25">
      <c r="A142" s="42" t="s">
        <v>354</v>
      </c>
      <c r="B142" s="42" t="s">
        <v>14</v>
      </c>
      <c r="C142" s="42">
        <v>3.2599999999999997E-2</v>
      </c>
      <c r="D142" s="42" t="s">
        <v>28</v>
      </c>
      <c r="E142" s="42" t="s">
        <v>38</v>
      </c>
      <c r="F142" s="42">
        <v>8.2000000000000007E-3</v>
      </c>
      <c r="G142" s="42" t="s">
        <v>28</v>
      </c>
      <c r="H142" s="42" t="s">
        <v>38</v>
      </c>
      <c r="I142" s="42"/>
      <c r="J142" s="42" t="s">
        <v>77</v>
      </c>
      <c r="K142" s="42"/>
      <c r="L142" s="42" t="s">
        <v>38</v>
      </c>
      <c r="M142" s="42" t="s">
        <v>58</v>
      </c>
      <c r="N142" s="40" t="s">
        <v>159</v>
      </c>
    </row>
    <row r="143" spans="1:14" x14ac:dyDescent="0.25">
      <c r="A143" s="42" t="s">
        <v>355</v>
      </c>
      <c r="B143" s="42" t="s">
        <v>14</v>
      </c>
      <c r="C143" s="42">
        <v>3.3000000000000002E-2</v>
      </c>
      <c r="D143" s="42" t="s">
        <v>28</v>
      </c>
      <c r="E143" s="42" t="s">
        <v>38</v>
      </c>
      <c r="F143" s="42">
        <v>9.1000000000000004E-3</v>
      </c>
      <c r="G143" s="42" t="s">
        <v>28</v>
      </c>
      <c r="H143" s="42" t="s">
        <v>38</v>
      </c>
      <c r="I143" s="42"/>
      <c r="J143" s="42" t="s">
        <v>77</v>
      </c>
      <c r="K143" s="42"/>
      <c r="L143" s="42" t="s">
        <v>38</v>
      </c>
      <c r="M143" s="42" t="s">
        <v>58</v>
      </c>
      <c r="N143" s="40" t="s">
        <v>159</v>
      </c>
    </row>
    <row r="144" spans="1:14" x14ac:dyDescent="0.25">
      <c r="A144" s="42" t="s">
        <v>356</v>
      </c>
      <c r="B144" s="42" t="s">
        <v>14</v>
      </c>
      <c r="C144" s="42">
        <v>3.32E-2</v>
      </c>
      <c r="D144" s="42" t="s">
        <v>28</v>
      </c>
      <c r="E144" s="42" t="s">
        <v>38</v>
      </c>
      <c r="F144" s="42">
        <v>0.01</v>
      </c>
      <c r="G144" s="42" t="s">
        <v>28</v>
      </c>
      <c r="H144" s="42" t="s">
        <v>38</v>
      </c>
      <c r="I144" s="42"/>
      <c r="J144" s="42" t="s">
        <v>77</v>
      </c>
      <c r="K144" s="42"/>
      <c r="L144" s="42" t="s">
        <v>38</v>
      </c>
      <c r="M144" s="42" t="s">
        <v>58</v>
      </c>
      <c r="N144" s="40" t="s">
        <v>159</v>
      </c>
    </row>
    <row r="145" spans="1:14" x14ac:dyDescent="0.25">
      <c r="A145" s="42" t="s">
        <v>357</v>
      </c>
      <c r="B145" s="42" t="s">
        <v>14</v>
      </c>
      <c r="C145" s="42">
        <v>3.32E-2</v>
      </c>
      <c r="D145" s="42" t="s">
        <v>28</v>
      </c>
      <c r="E145" s="42" t="s">
        <v>38</v>
      </c>
      <c r="F145" s="42">
        <v>0.01</v>
      </c>
      <c r="G145" s="42" t="s">
        <v>28</v>
      </c>
      <c r="H145" s="42" t="s">
        <v>38</v>
      </c>
      <c r="I145" s="42"/>
      <c r="J145" s="42" t="s">
        <v>77</v>
      </c>
      <c r="K145" s="42"/>
      <c r="L145" s="42" t="s">
        <v>38</v>
      </c>
      <c r="M145" s="42" t="s">
        <v>58</v>
      </c>
      <c r="N145" s="40" t="s">
        <v>159</v>
      </c>
    </row>
    <row r="146" spans="1:14" x14ac:dyDescent="0.25">
      <c r="A146" s="42" t="s">
        <v>358</v>
      </c>
      <c r="B146" s="42" t="s">
        <v>14</v>
      </c>
      <c r="C146" s="42">
        <v>5.1000000000000004E-3</v>
      </c>
      <c r="D146" s="42" t="s">
        <v>28</v>
      </c>
      <c r="E146" s="42" t="s">
        <v>38</v>
      </c>
      <c r="F146" s="42">
        <v>4.7999999999999996E-3</v>
      </c>
      <c r="G146" s="42" t="s">
        <v>28</v>
      </c>
      <c r="H146" s="42" t="s">
        <v>38</v>
      </c>
      <c r="I146" s="42"/>
      <c r="J146" s="42" t="s">
        <v>77</v>
      </c>
      <c r="K146" s="42"/>
      <c r="L146" s="42" t="s">
        <v>38</v>
      </c>
      <c r="M146" s="42" t="s">
        <v>58</v>
      </c>
      <c r="N146" s="43" t="s">
        <v>160</v>
      </c>
    </row>
    <row r="147" spans="1:14" x14ac:dyDescent="0.25">
      <c r="A147" s="42" t="s">
        <v>359</v>
      </c>
      <c r="B147" s="42" t="s">
        <v>14</v>
      </c>
      <c r="C147" s="42">
        <v>9.4999999999999998E-3</v>
      </c>
      <c r="D147" s="42" t="s">
        <v>28</v>
      </c>
      <c r="E147" s="42" t="s">
        <v>38</v>
      </c>
      <c r="F147" s="42">
        <v>4.3099999999999999E-2</v>
      </c>
      <c r="G147" s="42" t="s">
        <v>28</v>
      </c>
      <c r="H147" s="42" t="s">
        <v>38</v>
      </c>
      <c r="I147" s="42"/>
      <c r="J147" s="42" t="s">
        <v>77</v>
      </c>
      <c r="K147" s="42"/>
      <c r="L147" s="42" t="s">
        <v>38</v>
      </c>
      <c r="M147" s="42" t="s">
        <v>58</v>
      </c>
      <c r="N147" s="43" t="s">
        <v>160</v>
      </c>
    </row>
    <row r="148" spans="1:14" x14ac:dyDescent="0.25">
      <c r="A148" s="42" t="s">
        <v>360</v>
      </c>
      <c r="B148" s="42" t="s">
        <v>14</v>
      </c>
      <c r="C148" s="42">
        <v>7.2999999999999995E-2</v>
      </c>
      <c r="D148" s="42" t="s">
        <v>28</v>
      </c>
      <c r="E148" s="42" t="s">
        <v>38</v>
      </c>
      <c r="F148" s="42">
        <v>2.7E-2</v>
      </c>
      <c r="G148" s="42" t="s">
        <v>28</v>
      </c>
      <c r="H148" s="42" t="s">
        <v>38</v>
      </c>
      <c r="I148" s="42"/>
      <c r="J148" s="42" t="s">
        <v>77</v>
      </c>
      <c r="K148" s="42"/>
      <c r="L148" s="42" t="s">
        <v>38</v>
      </c>
      <c r="M148" s="42" t="s">
        <v>58</v>
      </c>
      <c r="N148" s="43" t="s">
        <v>162</v>
      </c>
    </row>
    <row r="149" spans="1:14" x14ac:dyDescent="0.25">
      <c r="A149" s="42" t="s">
        <v>361</v>
      </c>
      <c r="B149" s="42" t="s">
        <v>14</v>
      </c>
      <c r="C149" s="42">
        <v>0.92100000000000004</v>
      </c>
      <c r="D149" s="42" t="s">
        <v>28</v>
      </c>
      <c r="E149" s="42" t="s">
        <v>38</v>
      </c>
      <c r="F149" s="42">
        <v>1.7000000000000001E-2</v>
      </c>
      <c r="G149" s="42" t="s">
        <v>28</v>
      </c>
      <c r="H149" s="42" t="s">
        <v>38</v>
      </c>
      <c r="I149" s="42"/>
      <c r="J149" s="42" t="s">
        <v>77</v>
      </c>
      <c r="K149" s="42"/>
      <c r="L149" s="42" t="s">
        <v>38</v>
      </c>
      <c r="M149" s="42" t="s">
        <v>58</v>
      </c>
      <c r="N149" s="40" t="s">
        <v>157</v>
      </c>
    </row>
    <row r="150" spans="1:14" x14ac:dyDescent="0.25">
      <c r="A150" s="42" t="s">
        <v>362</v>
      </c>
      <c r="B150" s="42" t="s">
        <v>14</v>
      </c>
      <c r="C150" s="42">
        <v>9.1999999999999998E-2</v>
      </c>
      <c r="D150" s="42" t="s">
        <v>28</v>
      </c>
      <c r="E150" s="42" t="s">
        <v>38</v>
      </c>
      <c r="F150" s="42">
        <v>1.7000000000000001E-2</v>
      </c>
      <c r="G150" s="42" t="s">
        <v>28</v>
      </c>
      <c r="H150" s="42" t="s">
        <v>38</v>
      </c>
      <c r="I150" s="42"/>
      <c r="J150" s="42" t="s">
        <v>77</v>
      </c>
      <c r="K150" s="42"/>
      <c r="L150" s="42" t="s">
        <v>38</v>
      </c>
      <c r="M150" s="42" t="s">
        <v>58</v>
      </c>
      <c r="N150" s="40" t="s">
        <v>156</v>
      </c>
    </row>
    <row r="151" spans="1:14" x14ac:dyDescent="0.25">
      <c r="A151" s="42" t="s">
        <v>363</v>
      </c>
      <c r="B151" s="42" t="s">
        <v>14</v>
      </c>
      <c r="C151" s="42">
        <v>0.92100000000000004</v>
      </c>
      <c r="D151" s="42" t="s">
        <v>28</v>
      </c>
      <c r="E151" s="42" t="s">
        <v>38</v>
      </c>
      <c r="F151" s="42">
        <v>1.7000000000000001E-2</v>
      </c>
      <c r="G151" s="42" t="s">
        <v>28</v>
      </c>
      <c r="H151" s="42" t="s">
        <v>38</v>
      </c>
      <c r="I151" s="42"/>
      <c r="J151" s="42" t="s">
        <v>77</v>
      </c>
      <c r="K151" s="42"/>
      <c r="L151" s="42" t="s">
        <v>38</v>
      </c>
      <c r="M151" s="42" t="s">
        <v>58</v>
      </c>
      <c r="N151" s="40" t="s">
        <v>161</v>
      </c>
    </row>
    <row r="152" spans="1:14" x14ac:dyDescent="0.25">
      <c r="A152" s="42" t="s">
        <v>364</v>
      </c>
      <c r="B152" s="42" t="s">
        <v>14</v>
      </c>
      <c r="C152" s="42">
        <v>1.4E-2</v>
      </c>
      <c r="D152" s="42" t="s">
        <v>28</v>
      </c>
      <c r="E152" s="42" t="s">
        <v>38</v>
      </c>
      <c r="F152" s="42">
        <v>2E-3</v>
      </c>
      <c r="G152" s="42" t="s">
        <v>28</v>
      </c>
      <c r="H152" s="42" t="s">
        <v>38</v>
      </c>
      <c r="I152" s="42"/>
      <c r="J152" s="42" t="s">
        <v>77</v>
      </c>
      <c r="K152" s="42"/>
      <c r="L152" s="42" t="s">
        <v>38</v>
      </c>
      <c r="M152" s="42" t="s">
        <v>58</v>
      </c>
      <c r="N152" s="43" t="s">
        <v>163</v>
      </c>
    </row>
    <row r="153" spans="1:14" x14ac:dyDescent="0.25">
      <c r="A153" s="42" t="s">
        <v>33</v>
      </c>
      <c r="B153" s="42" t="s">
        <v>14</v>
      </c>
      <c r="C153" s="42">
        <v>0.193</v>
      </c>
      <c r="D153" s="42" t="s">
        <v>28</v>
      </c>
      <c r="E153" s="42" t="s">
        <v>38</v>
      </c>
      <c r="F153" s="42">
        <v>2.9000000000000001E-2</v>
      </c>
      <c r="G153" s="42" t="s">
        <v>28</v>
      </c>
      <c r="H153" s="42" t="s">
        <v>38</v>
      </c>
      <c r="I153" s="42"/>
      <c r="J153" s="42" t="s">
        <v>77</v>
      </c>
      <c r="K153" s="42"/>
      <c r="L153" s="42" t="s">
        <v>38</v>
      </c>
      <c r="M153" s="42" t="s">
        <v>58</v>
      </c>
      <c r="N153" s="43" t="s">
        <v>162</v>
      </c>
    </row>
    <row r="154" spans="1:14" x14ac:dyDescent="0.25">
      <c r="A154" s="42" t="s">
        <v>32</v>
      </c>
      <c r="B154" s="42" t="s">
        <v>14</v>
      </c>
      <c r="C154" s="42">
        <v>2.7530000000000001</v>
      </c>
      <c r="D154" s="42" t="s">
        <v>28</v>
      </c>
      <c r="E154" s="42" t="s">
        <v>38</v>
      </c>
      <c r="F154" s="42">
        <v>1.7000000000000001E-2</v>
      </c>
      <c r="G154" s="42" t="s">
        <v>28</v>
      </c>
      <c r="H154" s="42" t="s">
        <v>38</v>
      </c>
      <c r="I154" s="42"/>
      <c r="J154" s="42" t="s">
        <v>77</v>
      </c>
      <c r="K154" s="42"/>
      <c r="L154" s="42" t="s">
        <v>38</v>
      </c>
      <c r="M154" s="42" t="s">
        <v>58</v>
      </c>
      <c r="N154" s="40" t="s">
        <v>157</v>
      </c>
    </row>
    <row r="155" spans="1:14" x14ac:dyDescent="0.25">
      <c r="A155" s="42" t="s">
        <v>365</v>
      </c>
      <c r="B155" s="42" t="s">
        <v>14</v>
      </c>
      <c r="C155" s="42">
        <v>0.27500000000000002</v>
      </c>
      <c r="D155" s="42" t="s">
        <v>28</v>
      </c>
      <c r="E155" s="42" t="s">
        <v>38</v>
      </c>
      <c r="F155" s="42">
        <v>1.7000000000000001E-2</v>
      </c>
      <c r="G155" s="42" t="s">
        <v>28</v>
      </c>
      <c r="H155" s="42" t="s">
        <v>38</v>
      </c>
      <c r="I155" s="42"/>
      <c r="J155" s="42" t="s">
        <v>77</v>
      </c>
      <c r="K155" s="42"/>
      <c r="L155" s="42" t="s">
        <v>38</v>
      </c>
      <c r="M155" s="42" t="s">
        <v>58</v>
      </c>
      <c r="N155" s="40" t="s">
        <v>156</v>
      </c>
    </row>
    <row r="156" spans="1:14" x14ac:dyDescent="0.25">
      <c r="A156" s="42" t="s">
        <v>366</v>
      </c>
      <c r="B156" s="42" t="s">
        <v>14</v>
      </c>
      <c r="C156" s="42">
        <v>2.7530000000000001</v>
      </c>
      <c r="D156" s="42" t="s">
        <v>28</v>
      </c>
      <c r="E156" s="42" t="s">
        <v>38</v>
      </c>
      <c r="F156" s="42">
        <v>1.7000000000000001E-2</v>
      </c>
      <c r="G156" s="42" t="s">
        <v>28</v>
      </c>
      <c r="H156" s="42" t="s">
        <v>38</v>
      </c>
      <c r="I156" s="42"/>
      <c r="J156" s="42" t="s">
        <v>77</v>
      </c>
      <c r="K156" s="42"/>
      <c r="L156" s="42" t="s">
        <v>38</v>
      </c>
      <c r="M156" s="42" t="s">
        <v>58</v>
      </c>
      <c r="N156" s="40" t="s">
        <v>161</v>
      </c>
    </row>
    <row r="157" spans="1:14" x14ac:dyDescent="0.25">
      <c r="A157" s="42" t="s">
        <v>367</v>
      </c>
      <c r="B157" s="42" t="s">
        <v>14</v>
      </c>
      <c r="C157" s="42">
        <v>1.6E-2</v>
      </c>
      <c r="D157" s="42" t="s">
        <v>28</v>
      </c>
      <c r="E157" s="42" t="s">
        <v>38</v>
      </c>
      <c r="F157" s="42">
        <v>3.0000000000000001E-3</v>
      </c>
      <c r="G157" s="42" t="s">
        <v>28</v>
      </c>
      <c r="H157" s="42" t="s">
        <v>38</v>
      </c>
      <c r="I157" s="42"/>
      <c r="J157" s="42" t="s">
        <v>77</v>
      </c>
      <c r="K157" s="42"/>
      <c r="L157" s="42" t="s">
        <v>38</v>
      </c>
      <c r="M157" s="42" t="s">
        <v>58</v>
      </c>
      <c r="N157" s="43" t="s">
        <v>163</v>
      </c>
    </row>
    <row r="158" spans="1:14" x14ac:dyDescent="0.25">
      <c r="A158" s="42" t="s">
        <v>368</v>
      </c>
      <c r="B158" s="42" t="s">
        <v>14</v>
      </c>
      <c r="C158" s="42">
        <v>7.0000000000000001E-3</v>
      </c>
      <c r="D158" s="42" t="s">
        <v>28</v>
      </c>
      <c r="E158" s="42" t="s">
        <v>38</v>
      </c>
      <c r="F158" s="42">
        <v>8.3000000000000001E-3</v>
      </c>
      <c r="G158" s="42" t="s">
        <v>28</v>
      </c>
      <c r="H158" s="42" t="s">
        <v>38</v>
      </c>
      <c r="I158" s="42"/>
      <c r="J158" s="42" t="s">
        <v>77</v>
      </c>
      <c r="K158" s="42"/>
      <c r="L158" s="42" t="s">
        <v>38</v>
      </c>
      <c r="M158" s="42" t="s">
        <v>58</v>
      </c>
      <c r="N158" s="40" t="s">
        <v>159</v>
      </c>
    </row>
    <row r="159" spans="1:14" x14ac:dyDescent="0.25">
      <c r="A159" s="42" t="s">
        <v>369</v>
      </c>
      <c r="B159" s="42" t="s">
        <v>14</v>
      </c>
      <c r="C159" s="42">
        <v>0</v>
      </c>
      <c r="D159" s="42" t="s">
        <v>28</v>
      </c>
      <c r="E159" s="42" t="s">
        <v>38</v>
      </c>
      <c r="F159" s="42">
        <v>0</v>
      </c>
      <c r="G159" s="42" t="s">
        <v>28</v>
      </c>
      <c r="H159" s="42" t="s">
        <v>38</v>
      </c>
      <c r="I159" s="42"/>
      <c r="J159" s="42" t="s">
        <v>77</v>
      </c>
      <c r="K159" s="42"/>
      <c r="L159" s="42" t="s">
        <v>38</v>
      </c>
      <c r="M159" s="42" t="s">
        <v>58</v>
      </c>
      <c r="N159" s="40" t="s">
        <v>159</v>
      </c>
    </row>
    <row r="160" spans="1:14" x14ac:dyDescent="0.25">
      <c r="A160" s="42" t="s">
        <v>370</v>
      </c>
      <c r="B160" s="42" t="s">
        <v>14</v>
      </c>
      <c r="C160" s="42">
        <v>7.0000000000000001E-3</v>
      </c>
      <c r="D160" s="42" t="s">
        <v>28</v>
      </c>
      <c r="E160" s="42" t="s">
        <v>38</v>
      </c>
      <c r="F160" s="42">
        <v>8.3000000000000001E-3</v>
      </c>
      <c r="G160" s="42" t="s">
        <v>28</v>
      </c>
      <c r="H160" s="42" t="s">
        <v>38</v>
      </c>
      <c r="I160" s="42"/>
      <c r="J160" s="42" t="s">
        <v>77</v>
      </c>
      <c r="K160" s="42"/>
      <c r="L160" s="42" t="s">
        <v>38</v>
      </c>
      <c r="M160" s="42" t="s">
        <v>58</v>
      </c>
      <c r="N160" s="40" t="s">
        <v>159</v>
      </c>
    </row>
    <row r="161" spans="1:14" x14ac:dyDescent="0.25">
      <c r="G161" s="4"/>
      <c r="H161" s="4"/>
      <c r="J161" s="4"/>
      <c r="K161" s="4"/>
    </row>
    <row r="163" spans="1:14" x14ac:dyDescent="0.25">
      <c r="A163" s="2" t="s">
        <v>690</v>
      </c>
      <c r="B163" s="2"/>
      <c r="C163" s="46"/>
      <c r="D163" s="46"/>
      <c r="E163" s="46"/>
      <c r="F163" s="2"/>
      <c r="G163" s="2"/>
      <c r="H163" s="2"/>
      <c r="I163" s="2"/>
      <c r="J163" s="2"/>
    </row>
    <row r="164" spans="1:14" x14ac:dyDescent="0.25">
      <c r="C164"/>
      <c r="D164"/>
      <c r="E164"/>
    </row>
    <row r="165" spans="1:14" s="125" customFormat="1" ht="30.75" customHeight="1" x14ac:dyDescent="0.25">
      <c r="A165" s="124" t="s">
        <v>39</v>
      </c>
      <c r="B165" s="124" t="s">
        <v>0</v>
      </c>
      <c r="C165" s="124" t="s">
        <v>2</v>
      </c>
      <c r="D165" s="124" t="s">
        <v>23</v>
      </c>
      <c r="E165" s="124" t="s">
        <v>24</v>
      </c>
      <c r="F165" s="124" t="s">
        <v>3</v>
      </c>
      <c r="G165" s="124" t="s">
        <v>25</v>
      </c>
      <c r="H165" s="124" t="s">
        <v>26</v>
      </c>
      <c r="I165" s="124" t="s">
        <v>11</v>
      </c>
      <c r="J165" s="124" t="s">
        <v>13</v>
      </c>
      <c r="K165"/>
      <c r="L165"/>
      <c r="M165"/>
      <c r="N165"/>
    </row>
    <row r="166" spans="1:14" s="137" customFormat="1" x14ac:dyDescent="0.25">
      <c r="A166" s="139" t="s">
        <v>691</v>
      </c>
      <c r="B166" s="138"/>
      <c r="C166" s="138"/>
      <c r="D166" s="138"/>
      <c r="E166" s="138"/>
      <c r="F166" s="138"/>
      <c r="G166" s="138"/>
      <c r="H166" s="138"/>
      <c r="I166" s="138"/>
      <c r="J166" s="138"/>
      <c r="K166"/>
      <c r="L166"/>
      <c r="M166"/>
      <c r="N166"/>
    </row>
    <row r="167" spans="1:14" x14ac:dyDescent="0.25">
      <c r="A167" s="42" t="s">
        <v>226</v>
      </c>
      <c r="B167" s="42" t="s">
        <v>121</v>
      </c>
      <c r="C167" s="42">
        <v>0.40100000000000002</v>
      </c>
      <c r="D167" s="42" t="s">
        <v>28</v>
      </c>
      <c r="E167" s="42" t="s">
        <v>40</v>
      </c>
      <c r="F167" s="42">
        <v>0.13500000000000001</v>
      </c>
      <c r="G167" s="42" t="s">
        <v>28</v>
      </c>
      <c r="H167" s="42" t="s">
        <v>40</v>
      </c>
      <c r="I167" s="42"/>
      <c r="J167" s="42" t="s">
        <v>77</v>
      </c>
    </row>
    <row r="168" spans="1:14" x14ac:dyDescent="0.25">
      <c r="A168" s="42" t="s">
        <v>32</v>
      </c>
      <c r="B168" s="42" t="s">
        <v>121</v>
      </c>
      <c r="C168" s="42">
        <v>7.7149999999999999</v>
      </c>
      <c r="D168" s="42" t="s">
        <v>28</v>
      </c>
      <c r="E168" s="42" t="s">
        <v>40</v>
      </c>
      <c r="F168" s="42">
        <v>0.10100000000000001</v>
      </c>
      <c r="G168" s="42" t="s">
        <v>28</v>
      </c>
      <c r="H168" s="42" t="s">
        <v>40</v>
      </c>
      <c r="I168" s="42"/>
      <c r="J168" s="42" t="s">
        <v>77</v>
      </c>
    </row>
    <row r="169" spans="1:14" x14ac:dyDescent="0.25">
      <c r="A169" s="42" t="s">
        <v>33</v>
      </c>
      <c r="B169" s="42" t="s">
        <v>121</v>
      </c>
      <c r="C169" s="42">
        <v>1.292</v>
      </c>
      <c r="D169" s="42" t="s">
        <v>28</v>
      </c>
      <c r="E169" s="42" t="s">
        <v>40</v>
      </c>
      <c r="F169" s="42">
        <v>0.22600000000000001</v>
      </c>
      <c r="G169" s="42" t="s">
        <v>28</v>
      </c>
      <c r="H169" s="42" t="s">
        <v>40</v>
      </c>
      <c r="I169" s="42"/>
      <c r="J169" s="42" t="s">
        <v>77</v>
      </c>
    </row>
    <row r="170" spans="1:14" x14ac:dyDescent="0.25">
      <c r="A170" s="43" t="s">
        <v>494</v>
      </c>
      <c r="B170" s="42" t="s">
        <v>121</v>
      </c>
      <c r="C170" s="55">
        <f>(0.215+0.725)/2</f>
        <v>0.47</v>
      </c>
      <c r="D170" s="42" t="s">
        <v>28</v>
      </c>
      <c r="E170" s="42" t="s">
        <v>40</v>
      </c>
      <c r="F170" s="55">
        <f>(0.027+0.07)/2</f>
        <v>4.8500000000000001E-2</v>
      </c>
      <c r="G170" s="42" t="s">
        <v>28</v>
      </c>
      <c r="H170" s="42" t="s">
        <v>40</v>
      </c>
      <c r="I170" s="42"/>
      <c r="J170" s="42" t="s">
        <v>77</v>
      </c>
    </row>
    <row r="171" spans="1:14" x14ac:dyDescent="0.25">
      <c r="A171" s="43" t="s">
        <v>493</v>
      </c>
      <c r="B171" s="42" t="s">
        <v>121</v>
      </c>
      <c r="C171" s="42">
        <v>2.4E-2</v>
      </c>
      <c r="D171" s="42" t="s">
        <v>28</v>
      </c>
      <c r="E171" s="42" t="s">
        <v>40</v>
      </c>
      <c r="F171" s="42">
        <v>5.0000000000000001E-3</v>
      </c>
      <c r="G171" s="42" t="s">
        <v>28</v>
      </c>
      <c r="H171" s="42" t="s">
        <v>40</v>
      </c>
      <c r="I171" s="42"/>
      <c r="J171" s="42" t="s">
        <v>77</v>
      </c>
    </row>
    <row r="172" spans="1:14" x14ac:dyDescent="0.25">
      <c r="A172" s="43" t="s">
        <v>492</v>
      </c>
      <c r="B172" s="42" t="s">
        <v>121</v>
      </c>
      <c r="C172" s="55">
        <f>(0.027+0.045)/2</f>
        <v>3.5999999999999997E-2</v>
      </c>
      <c r="D172" s="42" t="s">
        <v>28</v>
      </c>
      <c r="E172" s="42" t="s">
        <v>40</v>
      </c>
      <c r="F172" s="55">
        <f>(0.012+0.047)/2</f>
        <v>2.9499999999999998E-2</v>
      </c>
      <c r="G172" s="42" t="s">
        <v>28</v>
      </c>
      <c r="H172" s="42" t="s">
        <v>40</v>
      </c>
      <c r="I172" s="42"/>
      <c r="J172" s="42" t="s">
        <v>77</v>
      </c>
    </row>
    <row r="173" spans="1:14" x14ac:dyDescent="0.25">
      <c r="A173" s="42" t="s">
        <v>227</v>
      </c>
      <c r="B173" s="42" t="s">
        <v>121</v>
      </c>
      <c r="C173" s="42">
        <v>5.9829999999999997</v>
      </c>
      <c r="D173" s="42" t="s">
        <v>28</v>
      </c>
      <c r="E173" s="42" t="s">
        <v>40</v>
      </c>
      <c r="F173" s="42">
        <v>0.185</v>
      </c>
      <c r="G173" s="42" t="s">
        <v>28</v>
      </c>
      <c r="H173" s="42" t="s">
        <v>40</v>
      </c>
      <c r="I173" s="42"/>
      <c r="J173" s="42" t="s">
        <v>77</v>
      </c>
    </row>
    <row r="174" spans="1:14" x14ac:dyDescent="0.25">
      <c r="A174" s="42" t="s">
        <v>228</v>
      </c>
      <c r="B174" s="42" t="s">
        <v>121</v>
      </c>
      <c r="C174" s="42">
        <v>4.2610000000000001</v>
      </c>
      <c r="D174" s="42" t="s">
        <v>28</v>
      </c>
      <c r="E174" s="42" t="s">
        <v>40</v>
      </c>
      <c r="F174" s="42">
        <v>0.27400000000000002</v>
      </c>
      <c r="G174" s="42" t="s">
        <v>28</v>
      </c>
      <c r="H174" s="42" t="s">
        <v>40</v>
      </c>
      <c r="I174" s="42"/>
      <c r="J174" s="42" t="s">
        <v>77</v>
      </c>
    </row>
    <row r="175" spans="1:14" x14ac:dyDescent="0.25">
      <c r="A175" s="42" t="s">
        <v>229</v>
      </c>
      <c r="B175" s="42" t="s">
        <v>121</v>
      </c>
      <c r="C175" s="42">
        <v>6.7000000000000004E-2</v>
      </c>
      <c r="D175" s="42" t="s">
        <v>28</v>
      </c>
      <c r="E175" s="42" t="s">
        <v>40</v>
      </c>
      <c r="F175" s="42">
        <v>9.2999999999999999E-2</v>
      </c>
      <c r="G175" s="42" t="s">
        <v>28</v>
      </c>
      <c r="H175" s="42" t="s">
        <v>40</v>
      </c>
      <c r="I175" s="42"/>
      <c r="J175" s="42" t="s">
        <v>77</v>
      </c>
    </row>
    <row r="176" spans="1:14" x14ac:dyDescent="0.25">
      <c r="A176" s="42" t="s">
        <v>230</v>
      </c>
      <c r="B176" s="42" t="s">
        <v>121</v>
      </c>
      <c r="C176" s="42">
        <v>1.2270000000000001</v>
      </c>
      <c r="D176" s="42" t="s">
        <v>28</v>
      </c>
      <c r="E176" s="42" t="s">
        <v>40</v>
      </c>
      <c r="F176" s="42">
        <v>0.191</v>
      </c>
      <c r="G176" s="42" t="s">
        <v>28</v>
      </c>
      <c r="H176" s="42" t="s">
        <v>40</v>
      </c>
      <c r="I176" s="42"/>
      <c r="J176" s="42" t="s">
        <v>77</v>
      </c>
    </row>
    <row r="177" spans="1:10" x14ac:dyDescent="0.25">
      <c r="A177" s="139" t="s">
        <v>693</v>
      </c>
      <c r="B177" s="42"/>
      <c r="C177" s="42"/>
      <c r="D177" s="42"/>
      <c r="E177" s="42"/>
      <c r="F177" s="42"/>
      <c r="G177" s="42"/>
      <c r="H177" s="42"/>
      <c r="I177" s="42"/>
      <c r="J177" s="42"/>
    </row>
    <row r="178" spans="1:10" x14ac:dyDescent="0.25">
      <c r="A178" s="42" t="s">
        <v>535</v>
      </c>
      <c r="B178" s="40" t="s">
        <v>20</v>
      </c>
      <c r="C178" s="42">
        <v>1.2800000000000001E-2</v>
      </c>
      <c r="D178" s="42" t="s">
        <v>28</v>
      </c>
      <c r="E178" s="42" t="s">
        <v>40</v>
      </c>
      <c r="F178" s="126">
        <v>1.2080000000000001E-3</v>
      </c>
      <c r="G178" s="42" t="s">
        <v>28</v>
      </c>
      <c r="H178" s="42" t="s">
        <v>40</v>
      </c>
      <c r="I178" s="42"/>
      <c r="J178" s="42" t="s">
        <v>77</v>
      </c>
    </row>
    <row r="179" spans="1:10" x14ac:dyDescent="0.25">
      <c r="A179" s="42" t="s">
        <v>536</v>
      </c>
      <c r="B179" s="40" t="s">
        <v>20</v>
      </c>
      <c r="C179" s="42">
        <v>1.2800000000000001E-2</v>
      </c>
      <c r="D179" s="42" t="s">
        <v>28</v>
      </c>
      <c r="E179" s="42" t="s">
        <v>40</v>
      </c>
      <c r="F179" s="126">
        <v>1.2080000000000001E-3</v>
      </c>
      <c r="G179" s="42" t="s">
        <v>28</v>
      </c>
      <c r="H179" s="42" t="s">
        <v>40</v>
      </c>
      <c r="I179" s="42"/>
      <c r="J179" s="42" t="s">
        <v>77</v>
      </c>
    </row>
    <row r="180" spans="1:10" x14ac:dyDescent="0.25">
      <c r="A180" s="43" t="s">
        <v>537</v>
      </c>
      <c r="B180" s="40" t="s">
        <v>20</v>
      </c>
      <c r="C180" s="42">
        <v>1.2800000000000001E-2</v>
      </c>
      <c r="D180" s="42" t="s">
        <v>28</v>
      </c>
      <c r="E180" s="42" t="s">
        <v>40</v>
      </c>
      <c r="F180" s="126">
        <v>1.2080000000000001E-3</v>
      </c>
      <c r="G180" s="42" t="s">
        <v>28</v>
      </c>
      <c r="H180" s="42" t="s">
        <v>40</v>
      </c>
      <c r="I180" s="42"/>
      <c r="J180" s="42" t="s">
        <v>77</v>
      </c>
    </row>
    <row r="181" spans="1:10" x14ac:dyDescent="0.25">
      <c r="A181" s="43" t="s">
        <v>538</v>
      </c>
      <c r="B181" s="40" t="s">
        <v>20</v>
      </c>
      <c r="C181" s="42">
        <v>1.2800000000000001E-2</v>
      </c>
      <c r="D181" s="42" t="s">
        <v>28</v>
      </c>
      <c r="E181" s="42" t="s">
        <v>40</v>
      </c>
      <c r="F181" s="126">
        <v>1.2080000000000001E-3</v>
      </c>
      <c r="G181" s="42" t="s">
        <v>28</v>
      </c>
      <c r="H181" s="42" t="s">
        <v>40</v>
      </c>
      <c r="I181" s="42"/>
      <c r="J181" s="42" t="s">
        <v>77</v>
      </c>
    </row>
    <row r="182" spans="1:10" x14ac:dyDescent="0.25">
      <c r="A182" s="43" t="s">
        <v>539</v>
      </c>
      <c r="B182" s="40" t="s">
        <v>20</v>
      </c>
      <c r="C182" s="42">
        <v>1.66E-4</v>
      </c>
      <c r="D182" s="42" t="s">
        <v>28</v>
      </c>
      <c r="E182" s="42" t="s">
        <v>40</v>
      </c>
      <c r="F182" s="126">
        <v>6.3090000000000004E-3</v>
      </c>
      <c r="G182" s="42" t="s">
        <v>28</v>
      </c>
      <c r="H182" s="42" t="s">
        <v>40</v>
      </c>
      <c r="I182" s="42"/>
      <c r="J182" s="42" t="s">
        <v>77</v>
      </c>
    </row>
    <row r="183" spans="1:10" x14ac:dyDescent="0.25">
      <c r="A183" s="43" t="s">
        <v>540</v>
      </c>
      <c r="B183" s="40" t="s">
        <v>20</v>
      </c>
      <c r="C183" s="42">
        <v>1.66E-4</v>
      </c>
      <c r="D183" s="42" t="s">
        <v>28</v>
      </c>
      <c r="E183" s="42" t="s">
        <v>40</v>
      </c>
      <c r="F183" s="126">
        <v>6.3090000000000004E-3</v>
      </c>
      <c r="G183" s="42" t="s">
        <v>28</v>
      </c>
      <c r="H183" s="42" t="s">
        <v>40</v>
      </c>
      <c r="I183" s="42"/>
      <c r="J183" s="42" t="s">
        <v>77</v>
      </c>
    </row>
    <row r="184" spans="1:10" x14ac:dyDescent="0.25">
      <c r="A184" s="43" t="s">
        <v>541</v>
      </c>
      <c r="B184" s="40" t="s">
        <v>20</v>
      </c>
      <c r="C184" s="42">
        <v>1.66E-4</v>
      </c>
      <c r="D184" s="42" t="s">
        <v>28</v>
      </c>
      <c r="E184" s="42" t="s">
        <v>40</v>
      </c>
      <c r="F184" s="126">
        <v>6.3090000000000004E-3</v>
      </c>
      <c r="G184" s="42" t="s">
        <v>28</v>
      </c>
      <c r="H184" s="42" t="s">
        <v>40</v>
      </c>
      <c r="I184" s="42"/>
      <c r="J184" s="42" t="s">
        <v>77</v>
      </c>
    </row>
    <row r="185" spans="1:10" x14ac:dyDescent="0.25">
      <c r="A185" s="43" t="s">
        <v>542</v>
      </c>
      <c r="B185" s="40" t="s">
        <v>20</v>
      </c>
      <c r="C185" s="42">
        <v>1.66E-4</v>
      </c>
      <c r="D185" s="42" t="s">
        <v>28</v>
      </c>
      <c r="E185" s="42" t="s">
        <v>40</v>
      </c>
      <c r="F185" s="126">
        <v>6.3090000000000004E-3</v>
      </c>
      <c r="G185" s="42" t="s">
        <v>28</v>
      </c>
      <c r="H185" s="42" t="s">
        <v>40</v>
      </c>
      <c r="I185" s="42"/>
      <c r="J185" s="42" t="s">
        <v>77</v>
      </c>
    </row>
    <row r="186" spans="1:10" x14ac:dyDescent="0.25">
      <c r="A186" s="43" t="s">
        <v>547</v>
      </c>
      <c r="B186" s="40" t="s">
        <v>20</v>
      </c>
      <c r="C186" s="42">
        <v>6.3200000000000006E-2</v>
      </c>
      <c r="D186" s="42" t="s">
        <v>28</v>
      </c>
      <c r="E186" s="42" t="s">
        <v>40</v>
      </c>
      <c r="F186" s="126">
        <v>1.3758389261744966E-3</v>
      </c>
      <c r="G186" s="42" t="s">
        <v>28</v>
      </c>
      <c r="H186" s="42" t="s">
        <v>40</v>
      </c>
      <c r="I186" s="42"/>
      <c r="J186" s="42" t="s">
        <v>77</v>
      </c>
    </row>
    <row r="187" spans="1:10" x14ac:dyDescent="0.25">
      <c r="A187" s="43" t="s">
        <v>548</v>
      </c>
      <c r="B187" s="40" t="s">
        <v>20</v>
      </c>
      <c r="C187" s="42">
        <v>6.3200000000000006E-2</v>
      </c>
      <c r="D187" s="42" t="s">
        <v>28</v>
      </c>
      <c r="E187" s="42" t="s">
        <v>40</v>
      </c>
      <c r="F187" s="126">
        <v>1.3758389261744966E-3</v>
      </c>
      <c r="G187" s="42" t="s">
        <v>28</v>
      </c>
      <c r="H187" s="42" t="s">
        <v>40</v>
      </c>
      <c r="I187" s="42"/>
      <c r="J187" s="42" t="s">
        <v>77</v>
      </c>
    </row>
    <row r="188" spans="1:10" x14ac:dyDescent="0.25">
      <c r="A188" s="42" t="s">
        <v>549</v>
      </c>
      <c r="B188" s="40" t="s">
        <v>20</v>
      </c>
      <c r="C188" s="42">
        <v>6.3200000000000006E-2</v>
      </c>
      <c r="D188" s="42" t="s">
        <v>28</v>
      </c>
      <c r="E188" s="42" t="s">
        <v>40</v>
      </c>
      <c r="F188" s="126">
        <v>1.3758389261744966E-3</v>
      </c>
      <c r="G188" s="42" t="s">
        <v>28</v>
      </c>
      <c r="H188" s="42" t="s">
        <v>40</v>
      </c>
      <c r="I188" s="42"/>
      <c r="J188" s="42" t="s">
        <v>77</v>
      </c>
    </row>
    <row r="189" spans="1:10" x14ac:dyDescent="0.25">
      <c r="A189" s="42" t="s">
        <v>550</v>
      </c>
      <c r="B189" s="40" t="s">
        <v>20</v>
      </c>
      <c r="C189" s="42">
        <v>2.0000000000000005E-3</v>
      </c>
      <c r="D189" s="42" t="s">
        <v>28</v>
      </c>
      <c r="E189" s="42" t="s">
        <v>40</v>
      </c>
      <c r="F189" s="126">
        <v>1.3758389261744966E-3</v>
      </c>
      <c r="G189" s="42" t="s">
        <v>28</v>
      </c>
      <c r="H189" s="42" t="s">
        <v>40</v>
      </c>
      <c r="I189" s="42"/>
      <c r="J189" s="42" t="s">
        <v>77</v>
      </c>
    </row>
    <row r="190" spans="1:10" x14ac:dyDescent="0.25">
      <c r="A190" s="42" t="s">
        <v>551</v>
      </c>
      <c r="B190" s="40" t="s">
        <v>20</v>
      </c>
      <c r="C190" s="42">
        <v>2.0000000000000005E-3</v>
      </c>
      <c r="D190" s="42" t="s">
        <v>28</v>
      </c>
      <c r="E190" s="42" t="s">
        <v>40</v>
      </c>
      <c r="F190" s="126">
        <v>1.3758389261744966E-3</v>
      </c>
      <c r="G190" s="42" t="s">
        <v>28</v>
      </c>
      <c r="H190" s="42" t="s">
        <v>40</v>
      </c>
      <c r="I190" s="42"/>
      <c r="J190" s="42" t="s">
        <v>77</v>
      </c>
    </row>
    <row r="191" spans="1:10" x14ac:dyDescent="0.25">
      <c r="A191" s="42" t="s">
        <v>552</v>
      </c>
      <c r="B191" s="40" t="s">
        <v>20</v>
      </c>
      <c r="C191" s="42">
        <v>2.0000000000000005E-3</v>
      </c>
      <c r="D191" s="42" t="s">
        <v>28</v>
      </c>
      <c r="E191" s="42" t="s">
        <v>40</v>
      </c>
      <c r="F191" s="126">
        <v>1.3758389261744966E-3</v>
      </c>
      <c r="G191" s="42" t="s">
        <v>28</v>
      </c>
      <c r="H191" s="42" t="s">
        <v>40</v>
      </c>
      <c r="I191" s="42"/>
      <c r="J191" s="42" t="s">
        <v>77</v>
      </c>
    </row>
    <row r="192" spans="1:10" x14ac:dyDescent="0.25">
      <c r="A192" s="42" t="s">
        <v>553</v>
      </c>
      <c r="B192" s="40" t="s">
        <v>20</v>
      </c>
      <c r="C192" s="42">
        <v>9.6000000000000009E-3</v>
      </c>
      <c r="D192" s="42" t="s">
        <v>28</v>
      </c>
      <c r="E192" s="42" t="s">
        <v>40</v>
      </c>
      <c r="F192" s="126">
        <v>1.6442953020134228E-3</v>
      </c>
      <c r="G192" s="42" t="s">
        <v>28</v>
      </c>
      <c r="H192" s="42" t="s">
        <v>40</v>
      </c>
      <c r="I192" s="42"/>
      <c r="J192" s="42" t="s">
        <v>77</v>
      </c>
    </row>
    <row r="193" spans="1:10" x14ac:dyDescent="0.25">
      <c r="A193" s="42" t="s">
        <v>554</v>
      </c>
      <c r="B193" s="40" t="s">
        <v>20</v>
      </c>
      <c r="C193" s="42">
        <v>9.6000000000000009E-3</v>
      </c>
      <c r="D193" s="42" t="s">
        <v>28</v>
      </c>
      <c r="E193" s="42" t="s">
        <v>40</v>
      </c>
      <c r="F193" s="126">
        <v>1.6442953020134228E-3</v>
      </c>
      <c r="G193" s="42" t="s">
        <v>28</v>
      </c>
      <c r="H193" s="42" t="s">
        <v>40</v>
      </c>
      <c r="I193" s="42"/>
      <c r="J193" s="42" t="s">
        <v>77</v>
      </c>
    </row>
    <row r="194" spans="1:10" x14ac:dyDescent="0.25">
      <c r="A194" s="42" t="s">
        <v>555</v>
      </c>
      <c r="B194" s="40" t="s">
        <v>20</v>
      </c>
      <c r="C194" s="42">
        <v>9.6000000000000009E-3</v>
      </c>
      <c r="D194" s="42" t="s">
        <v>28</v>
      </c>
      <c r="E194" s="42" t="s">
        <v>40</v>
      </c>
      <c r="F194" s="126">
        <v>1.6442953020134228E-3</v>
      </c>
      <c r="G194" s="42" t="s">
        <v>28</v>
      </c>
      <c r="H194" s="42" t="s">
        <v>40</v>
      </c>
      <c r="I194" s="42"/>
      <c r="J194" s="42" t="s">
        <v>77</v>
      </c>
    </row>
    <row r="195" spans="1:10" x14ac:dyDescent="0.25">
      <c r="A195" s="42" t="s">
        <v>556</v>
      </c>
      <c r="B195" s="40" t="s">
        <v>20</v>
      </c>
      <c r="C195" s="42">
        <v>9.6000000000000009E-3</v>
      </c>
      <c r="D195" s="42" t="s">
        <v>28</v>
      </c>
      <c r="E195" s="42" t="s">
        <v>40</v>
      </c>
      <c r="F195" s="126">
        <v>1.6442953020134228E-3</v>
      </c>
      <c r="G195" s="42" t="s">
        <v>28</v>
      </c>
      <c r="H195" s="42" t="s">
        <v>40</v>
      </c>
      <c r="I195" s="42"/>
      <c r="J195" s="42" t="s">
        <v>77</v>
      </c>
    </row>
    <row r="196" spans="1:10" x14ac:dyDescent="0.25">
      <c r="A196" s="42" t="s">
        <v>557</v>
      </c>
      <c r="B196" s="40" t="s">
        <v>20</v>
      </c>
      <c r="C196" s="42">
        <v>0</v>
      </c>
      <c r="D196" s="42" t="s">
        <v>28</v>
      </c>
      <c r="E196" s="42" t="s">
        <v>40</v>
      </c>
      <c r="F196" s="126">
        <v>6.2416107382550334E-3</v>
      </c>
      <c r="G196" s="42" t="s">
        <v>28</v>
      </c>
      <c r="H196" s="42" t="s">
        <v>40</v>
      </c>
      <c r="I196" s="42"/>
      <c r="J196" s="42" t="s">
        <v>77</v>
      </c>
    </row>
    <row r="197" spans="1:10" x14ac:dyDescent="0.25">
      <c r="A197" s="42" t="s">
        <v>558</v>
      </c>
      <c r="B197" s="40" t="s">
        <v>20</v>
      </c>
      <c r="C197" s="42">
        <v>1.6000000000000001E-3</v>
      </c>
      <c r="D197" s="42" t="s">
        <v>28</v>
      </c>
      <c r="E197" s="42" t="s">
        <v>40</v>
      </c>
      <c r="F197" s="126">
        <v>1.8791946308724832E-3</v>
      </c>
      <c r="G197" s="42" t="s">
        <v>28</v>
      </c>
      <c r="H197" s="42" t="s">
        <v>40</v>
      </c>
      <c r="I197" s="42"/>
      <c r="J197" s="42" t="s">
        <v>77</v>
      </c>
    </row>
    <row r="198" spans="1:10" x14ac:dyDescent="0.25">
      <c r="A198" s="42" t="s">
        <v>559</v>
      </c>
      <c r="B198" s="40" t="s">
        <v>20</v>
      </c>
      <c r="C198" s="42">
        <v>4.7200000000000006E-2</v>
      </c>
      <c r="D198" s="42" t="s">
        <v>28</v>
      </c>
      <c r="E198" s="42" t="s">
        <v>40</v>
      </c>
      <c r="F198" s="126">
        <v>1.8791946308724832E-3</v>
      </c>
      <c r="G198" s="42" t="s">
        <v>28</v>
      </c>
      <c r="H198" s="42" t="s">
        <v>40</v>
      </c>
      <c r="I198" s="42"/>
      <c r="J198" s="42" t="s">
        <v>77</v>
      </c>
    </row>
    <row r="199" spans="1:10" x14ac:dyDescent="0.25">
      <c r="A199" s="42" t="s">
        <v>556</v>
      </c>
      <c r="B199" s="40" t="s">
        <v>20</v>
      </c>
      <c r="C199" s="42">
        <v>4.0000000000000002E-4</v>
      </c>
      <c r="D199" s="42" t="s">
        <v>28</v>
      </c>
      <c r="E199" s="42" t="s">
        <v>40</v>
      </c>
      <c r="F199" s="126">
        <v>6.1073825503355694E-3</v>
      </c>
      <c r="G199" s="42" t="s">
        <v>28</v>
      </c>
      <c r="H199" s="42" t="s">
        <v>40</v>
      </c>
      <c r="I199" s="42"/>
      <c r="J199" s="42" t="s">
        <v>77</v>
      </c>
    </row>
    <row r="200" spans="1:10" x14ac:dyDescent="0.25">
      <c r="A200" s="43" t="s">
        <v>560</v>
      </c>
      <c r="B200" s="40" t="s">
        <v>20</v>
      </c>
      <c r="C200" s="42">
        <v>6.2399999999999997E-2</v>
      </c>
      <c r="D200" s="42" t="s">
        <v>28</v>
      </c>
      <c r="E200" s="42" t="s">
        <v>40</v>
      </c>
      <c r="F200" s="126">
        <v>1.8799999999999999E-3</v>
      </c>
      <c r="G200" s="42" t="s">
        <v>28</v>
      </c>
      <c r="H200" s="42" t="s">
        <v>40</v>
      </c>
      <c r="I200" s="42"/>
      <c r="J200" s="42" t="s">
        <v>77</v>
      </c>
    </row>
    <row r="201" spans="1:10" x14ac:dyDescent="0.25">
      <c r="A201" s="43" t="s">
        <v>561</v>
      </c>
      <c r="B201" s="40" t="s">
        <v>20</v>
      </c>
      <c r="C201" s="42">
        <v>8.1600000000000006E-2</v>
      </c>
      <c r="D201" s="42" t="s">
        <v>28</v>
      </c>
      <c r="E201" s="42" t="s">
        <v>40</v>
      </c>
      <c r="F201" s="126">
        <v>2.0100000000000001E-3</v>
      </c>
      <c r="G201" s="42" t="s">
        <v>28</v>
      </c>
      <c r="H201" s="42" t="s">
        <v>40</v>
      </c>
      <c r="I201" s="42"/>
      <c r="J201" s="42" t="s">
        <v>77</v>
      </c>
    </row>
    <row r="202" spans="1:10" x14ac:dyDescent="0.25">
      <c r="A202" s="43" t="s">
        <v>562</v>
      </c>
      <c r="B202" s="40" t="s">
        <v>20</v>
      </c>
      <c r="C202" s="42">
        <v>4.5199999999999997E-2</v>
      </c>
      <c r="D202" s="42" t="s">
        <v>28</v>
      </c>
      <c r="E202" s="42" t="s">
        <v>40</v>
      </c>
      <c r="F202" s="126">
        <v>2.0100000000000001E-3</v>
      </c>
      <c r="G202" s="42" t="s">
        <v>28</v>
      </c>
      <c r="H202" s="42" t="s">
        <v>40</v>
      </c>
      <c r="I202" s="42"/>
      <c r="J202" s="42" t="s">
        <v>77</v>
      </c>
    </row>
    <row r="203" spans="1:10" x14ac:dyDescent="0.25">
      <c r="A203" s="43" t="s">
        <v>563</v>
      </c>
      <c r="B203" s="40" t="s">
        <v>20</v>
      </c>
      <c r="C203" s="42">
        <v>6.3200000000000006E-2</v>
      </c>
      <c r="D203" s="42" t="s">
        <v>28</v>
      </c>
      <c r="E203" s="42" t="s">
        <v>40</v>
      </c>
      <c r="F203" s="126">
        <v>1.98E-3</v>
      </c>
      <c r="G203" s="42" t="s">
        <v>28</v>
      </c>
      <c r="H203" s="42" t="s">
        <v>40</v>
      </c>
      <c r="I203" s="42"/>
      <c r="J203" s="42" t="s">
        <v>77</v>
      </c>
    </row>
    <row r="204" spans="1:10" x14ac:dyDescent="0.25">
      <c r="A204" s="42" t="s">
        <v>564</v>
      </c>
      <c r="B204" s="40" t="s">
        <v>20</v>
      </c>
      <c r="C204" s="42">
        <v>4.0000000000000001E-3</v>
      </c>
      <c r="D204" s="42" t="s">
        <v>28</v>
      </c>
      <c r="E204" s="42" t="s">
        <v>40</v>
      </c>
      <c r="F204" s="126">
        <v>2.0067114093959729E-2</v>
      </c>
      <c r="G204" s="42" t="s">
        <v>28</v>
      </c>
      <c r="H204" s="42" t="s">
        <v>40</v>
      </c>
      <c r="I204" s="42"/>
      <c r="J204" s="42" t="s">
        <v>77</v>
      </c>
    </row>
    <row r="205" spans="1:10" x14ac:dyDescent="0.25">
      <c r="A205" s="42" t="s">
        <v>565</v>
      </c>
      <c r="B205" s="40" t="s">
        <v>20</v>
      </c>
      <c r="C205" s="42">
        <v>4.0000000000000001E-3</v>
      </c>
      <c r="D205" s="42" t="s">
        <v>28</v>
      </c>
      <c r="E205" s="42" t="s">
        <v>40</v>
      </c>
      <c r="F205" s="126">
        <v>2.0067114093959729E-2</v>
      </c>
      <c r="G205" s="42" t="s">
        <v>28</v>
      </c>
      <c r="H205" s="42" t="s">
        <v>40</v>
      </c>
      <c r="I205" s="42"/>
      <c r="J205" s="42" t="s">
        <v>77</v>
      </c>
    </row>
    <row r="206" spans="1:10" x14ac:dyDescent="0.25">
      <c r="A206" s="42" t="s">
        <v>566</v>
      </c>
      <c r="B206" s="40" t="s">
        <v>20</v>
      </c>
      <c r="C206" s="42">
        <v>4.0000000000000001E-3</v>
      </c>
      <c r="D206" s="42" t="s">
        <v>28</v>
      </c>
      <c r="E206" s="42" t="s">
        <v>40</v>
      </c>
      <c r="F206" s="126">
        <v>2.0067114093959729E-2</v>
      </c>
      <c r="G206" s="42" t="s">
        <v>28</v>
      </c>
      <c r="H206" s="42" t="s">
        <v>40</v>
      </c>
      <c r="I206" s="42"/>
      <c r="J206" s="42" t="s">
        <v>77</v>
      </c>
    </row>
    <row r="207" spans="1:10" x14ac:dyDescent="0.25">
      <c r="A207" s="42" t="s">
        <v>567</v>
      </c>
      <c r="B207" s="40" t="s">
        <v>20</v>
      </c>
      <c r="C207" s="42">
        <v>4.0000000000000001E-3</v>
      </c>
      <c r="D207" s="42" t="s">
        <v>28</v>
      </c>
      <c r="E207" s="42" t="s">
        <v>40</v>
      </c>
      <c r="F207" s="126">
        <v>2.0067114093959729E-2</v>
      </c>
      <c r="G207" s="42" t="s">
        <v>28</v>
      </c>
      <c r="H207" s="42" t="s">
        <v>40</v>
      </c>
      <c r="I207" s="42"/>
      <c r="J207" s="42" t="s">
        <v>77</v>
      </c>
    </row>
    <row r="208" spans="1:10" x14ac:dyDescent="0.25">
      <c r="A208" s="42" t="s">
        <v>568</v>
      </c>
      <c r="B208" s="40" t="s">
        <v>20</v>
      </c>
      <c r="C208" s="42">
        <v>4.7999999999999996E-3</v>
      </c>
      <c r="D208" s="42" t="s">
        <v>28</v>
      </c>
      <c r="E208" s="42" t="s">
        <v>40</v>
      </c>
      <c r="F208" s="126">
        <v>2.4463087248322146E-2</v>
      </c>
      <c r="G208" s="42" t="s">
        <v>28</v>
      </c>
      <c r="H208" s="42" t="s">
        <v>40</v>
      </c>
      <c r="I208" s="42"/>
      <c r="J208" s="42" t="s">
        <v>77</v>
      </c>
    </row>
    <row r="209" spans="1:10" x14ac:dyDescent="0.25">
      <c r="A209" s="42" t="s">
        <v>569</v>
      </c>
      <c r="B209" s="40" t="s">
        <v>20</v>
      </c>
      <c r="C209" s="42">
        <v>4.7999999999999996E-3</v>
      </c>
      <c r="D209" s="42" t="s">
        <v>28</v>
      </c>
      <c r="E209" s="42" t="s">
        <v>40</v>
      </c>
      <c r="F209" s="126">
        <v>2.4463087248322146E-2</v>
      </c>
      <c r="G209" s="42" t="s">
        <v>28</v>
      </c>
      <c r="H209" s="42" t="s">
        <v>40</v>
      </c>
      <c r="I209" s="42"/>
      <c r="J209" s="42" t="s">
        <v>77</v>
      </c>
    </row>
    <row r="210" spans="1:10" x14ac:dyDescent="0.25">
      <c r="A210" s="42" t="s">
        <v>570</v>
      </c>
      <c r="B210" s="40" t="s">
        <v>20</v>
      </c>
      <c r="C210" s="42">
        <v>4.7999999999999996E-3</v>
      </c>
      <c r="D210" s="42" t="s">
        <v>28</v>
      </c>
      <c r="E210" s="42" t="s">
        <v>40</v>
      </c>
      <c r="F210" s="126">
        <v>2.4463087248322146E-2</v>
      </c>
      <c r="G210" s="42" t="s">
        <v>28</v>
      </c>
      <c r="H210" s="42" t="s">
        <v>40</v>
      </c>
      <c r="I210" s="42"/>
      <c r="J210" s="42" t="s">
        <v>77</v>
      </c>
    </row>
    <row r="211" spans="1:10" x14ac:dyDescent="0.25">
      <c r="A211" s="42" t="s">
        <v>571</v>
      </c>
      <c r="B211" s="40" t="s">
        <v>20</v>
      </c>
      <c r="C211" s="42">
        <v>4.7999999999999996E-3</v>
      </c>
      <c r="D211" s="42" t="s">
        <v>28</v>
      </c>
      <c r="E211" s="42" t="s">
        <v>40</v>
      </c>
      <c r="F211" s="126">
        <v>2.4463087248322146E-2</v>
      </c>
      <c r="G211" s="42" t="s">
        <v>28</v>
      </c>
      <c r="H211" s="42" t="s">
        <v>40</v>
      </c>
      <c r="I211" s="42"/>
      <c r="J211" s="42" t="s">
        <v>77</v>
      </c>
    </row>
    <row r="212" spans="1:10" x14ac:dyDescent="0.25">
      <c r="A212" s="42" t="s">
        <v>572</v>
      </c>
      <c r="B212" s="40" t="s">
        <v>20</v>
      </c>
      <c r="C212" s="42">
        <v>8.0000000000000019E-3</v>
      </c>
      <c r="D212" s="42" t="s">
        <v>28</v>
      </c>
      <c r="E212" s="42" t="s">
        <v>40</v>
      </c>
      <c r="F212" s="126">
        <v>3.9966442953020133E-2</v>
      </c>
      <c r="G212" s="42" t="s">
        <v>28</v>
      </c>
      <c r="H212" s="42" t="s">
        <v>40</v>
      </c>
      <c r="I212" s="42"/>
      <c r="J212" s="42" t="s">
        <v>77</v>
      </c>
    </row>
    <row r="213" spans="1:10" x14ac:dyDescent="0.25">
      <c r="A213" s="42" t="s">
        <v>573</v>
      </c>
      <c r="B213" s="40" t="s">
        <v>20</v>
      </c>
      <c r="C213" s="42">
        <v>8.0000000000000019E-3</v>
      </c>
      <c r="D213" s="42" t="s">
        <v>28</v>
      </c>
      <c r="E213" s="42" t="s">
        <v>40</v>
      </c>
      <c r="F213" s="126">
        <v>3.9966442953020133E-2</v>
      </c>
      <c r="G213" s="42" t="s">
        <v>28</v>
      </c>
      <c r="H213" s="42" t="s">
        <v>40</v>
      </c>
      <c r="I213" s="42"/>
      <c r="J213" s="42" t="s">
        <v>77</v>
      </c>
    </row>
    <row r="214" spans="1:10" x14ac:dyDescent="0.25">
      <c r="A214" s="42" t="s">
        <v>574</v>
      </c>
      <c r="B214" s="40" t="s">
        <v>20</v>
      </c>
      <c r="C214" s="42">
        <v>8.0000000000000019E-3</v>
      </c>
      <c r="D214" s="42" t="s">
        <v>28</v>
      </c>
      <c r="E214" s="42" t="s">
        <v>40</v>
      </c>
      <c r="F214" s="126">
        <v>3.9966442953020133E-2</v>
      </c>
      <c r="G214" s="42" t="s">
        <v>28</v>
      </c>
      <c r="H214" s="42" t="s">
        <v>40</v>
      </c>
      <c r="I214" s="42"/>
      <c r="J214" s="42" t="s">
        <v>77</v>
      </c>
    </row>
    <row r="215" spans="1:10" x14ac:dyDescent="0.25">
      <c r="A215" s="42" t="s">
        <v>575</v>
      </c>
      <c r="B215" s="40" t="s">
        <v>20</v>
      </c>
      <c r="C215" s="42">
        <v>8.0000000000000019E-3</v>
      </c>
      <c r="D215" s="42" t="s">
        <v>28</v>
      </c>
      <c r="E215" s="42" t="s">
        <v>40</v>
      </c>
      <c r="F215" s="126">
        <v>3.9966442953020133E-2</v>
      </c>
      <c r="G215" s="42" t="s">
        <v>28</v>
      </c>
      <c r="H215" s="42" t="s">
        <v>40</v>
      </c>
      <c r="I215" s="42"/>
      <c r="J215" s="42" t="s">
        <v>77</v>
      </c>
    </row>
    <row r="216" spans="1:10" x14ac:dyDescent="0.25">
      <c r="A216" s="42" t="s">
        <v>576</v>
      </c>
      <c r="B216" s="40" t="s">
        <v>20</v>
      </c>
      <c r="C216" s="42">
        <v>6.8000000000000014E-3</v>
      </c>
      <c r="D216" s="42" t="s">
        <v>28</v>
      </c>
      <c r="E216" s="42" t="s">
        <v>40</v>
      </c>
      <c r="F216" s="126">
        <v>3.3523489932885904E-2</v>
      </c>
      <c r="G216" s="42" t="s">
        <v>28</v>
      </c>
      <c r="H216" s="42" t="s">
        <v>40</v>
      </c>
      <c r="I216" s="42"/>
      <c r="J216" s="42" t="s">
        <v>77</v>
      </c>
    </row>
    <row r="217" spans="1:10" x14ac:dyDescent="0.25">
      <c r="A217" s="42" t="s">
        <v>577</v>
      </c>
      <c r="B217" s="40" t="s">
        <v>20</v>
      </c>
      <c r="C217" s="42">
        <v>4.4000000000000003E-3</v>
      </c>
      <c r="D217" s="42" t="s">
        <v>28</v>
      </c>
      <c r="E217" s="42" t="s">
        <v>40</v>
      </c>
      <c r="F217" s="126">
        <v>4.560402684563758E-2</v>
      </c>
      <c r="G217" s="42" t="s">
        <v>28</v>
      </c>
      <c r="H217" s="42" t="s">
        <v>40</v>
      </c>
      <c r="I217" s="42"/>
      <c r="J217" s="42" t="s">
        <v>77</v>
      </c>
    </row>
    <row r="218" spans="1:10" x14ac:dyDescent="0.25">
      <c r="A218" s="42" t="s">
        <v>578</v>
      </c>
      <c r="B218" s="40" t="s">
        <v>20</v>
      </c>
      <c r="C218" s="42">
        <v>4.4000000000000003E-3</v>
      </c>
      <c r="D218" s="42" t="s">
        <v>28</v>
      </c>
      <c r="E218" s="42" t="s">
        <v>40</v>
      </c>
      <c r="F218" s="126">
        <v>4.560402684563758E-2</v>
      </c>
      <c r="G218" s="42" t="s">
        <v>28</v>
      </c>
      <c r="H218" s="42" t="s">
        <v>40</v>
      </c>
      <c r="I218" s="42"/>
      <c r="J218" s="42" t="s">
        <v>77</v>
      </c>
    </row>
    <row r="219" spans="1:10" x14ac:dyDescent="0.25">
      <c r="A219" s="42" t="s">
        <v>579</v>
      </c>
      <c r="B219" s="40" t="s">
        <v>20</v>
      </c>
      <c r="C219" s="42">
        <v>4.4000000000000003E-3</v>
      </c>
      <c r="D219" s="42" t="s">
        <v>28</v>
      </c>
      <c r="E219" s="42" t="s">
        <v>40</v>
      </c>
      <c r="F219" s="126">
        <v>4.560402684563758E-2</v>
      </c>
      <c r="G219" s="42" t="s">
        <v>28</v>
      </c>
      <c r="H219" s="42" t="s">
        <v>40</v>
      </c>
      <c r="I219" s="42"/>
      <c r="J219" s="42" t="s">
        <v>77</v>
      </c>
    </row>
    <row r="220" spans="1:10" x14ac:dyDescent="0.25">
      <c r="A220" s="42" t="s">
        <v>580</v>
      </c>
      <c r="B220" s="40" t="s">
        <v>20</v>
      </c>
      <c r="C220" s="42">
        <v>4.4000000000000003E-3</v>
      </c>
      <c r="D220" s="42" t="s">
        <v>28</v>
      </c>
      <c r="E220" s="42" t="s">
        <v>40</v>
      </c>
      <c r="F220" s="126">
        <v>4.560402684563758E-2</v>
      </c>
      <c r="G220" s="42" t="s">
        <v>28</v>
      </c>
      <c r="H220" s="42" t="s">
        <v>40</v>
      </c>
      <c r="I220" s="42"/>
      <c r="J220" s="42" t="s">
        <v>77</v>
      </c>
    </row>
    <row r="221" spans="1:10" x14ac:dyDescent="0.25">
      <c r="A221" s="42" t="s">
        <v>581</v>
      </c>
      <c r="B221" s="40" t="s">
        <v>20</v>
      </c>
      <c r="C221" s="42">
        <v>5.1999999999999998E-3</v>
      </c>
      <c r="D221" s="42" t="s">
        <v>28</v>
      </c>
      <c r="E221" s="42" t="s">
        <v>40</v>
      </c>
      <c r="F221" s="126">
        <v>5.4261744966442954E-2</v>
      </c>
      <c r="G221" s="42" t="s">
        <v>28</v>
      </c>
      <c r="H221" s="42" t="s">
        <v>40</v>
      </c>
      <c r="I221" s="42"/>
      <c r="J221" s="42" t="s">
        <v>77</v>
      </c>
    </row>
    <row r="222" spans="1:10" x14ac:dyDescent="0.25">
      <c r="A222" s="42" t="s">
        <v>582</v>
      </c>
      <c r="B222" s="40" t="s">
        <v>20</v>
      </c>
      <c r="C222" s="42">
        <v>5.1999999999999998E-3</v>
      </c>
      <c r="D222" s="42" t="s">
        <v>28</v>
      </c>
      <c r="E222" s="42" t="s">
        <v>40</v>
      </c>
      <c r="F222" s="126">
        <v>5.4261744966442954E-2</v>
      </c>
      <c r="G222" s="42" t="s">
        <v>28</v>
      </c>
      <c r="H222" s="42" t="s">
        <v>40</v>
      </c>
      <c r="I222" s="42"/>
      <c r="J222" s="42" t="s">
        <v>77</v>
      </c>
    </row>
    <row r="223" spans="1:10" x14ac:dyDescent="0.25">
      <c r="A223" s="42" t="s">
        <v>583</v>
      </c>
      <c r="B223" s="40" t="s">
        <v>20</v>
      </c>
      <c r="C223" s="42">
        <v>5.1999999999999998E-3</v>
      </c>
      <c r="D223" s="42" t="s">
        <v>28</v>
      </c>
      <c r="E223" s="42" t="s">
        <v>40</v>
      </c>
      <c r="F223" s="126">
        <v>5.4261744966442954E-2</v>
      </c>
      <c r="G223" s="42" t="s">
        <v>28</v>
      </c>
      <c r="H223" s="42" t="s">
        <v>40</v>
      </c>
      <c r="I223" s="42"/>
      <c r="J223" s="42" t="s">
        <v>77</v>
      </c>
    </row>
    <row r="224" spans="1:10" x14ac:dyDescent="0.25">
      <c r="A224" s="42" t="s">
        <v>584</v>
      </c>
      <c r="B224" s="40" t="s">
        <v>20</v>
      </c>
      <c r="C224" s="42">
        <v>5.1999999999999998E-3</v>
      </c>
      <c r="D224" s="42" t="s">
        <v>28</v>
      </c>
      <c r="E224" s="42" t="s">
        <v>40</v>
      </c>
      <c r="F224" s="126">
        <v>5.4261744966442954E-2</v>
      </c>
      <c r="G224" s="42" t="s">
        <v>28</v>
      </c>
      <c r="H224" s="42" t="s">
        <v>40</v>
      </c>
      <c r="I224" s="42"/>
      <c r="J224" s="42" t="s">
        <v>77</v>
      </c>
    </row>
    <row r="225" spans="1:17" x14ac:dyDescent="0.25">
      <c r="A225" s="42" t="s">
        <v>585</v>
      </c>
      <c r="B225" s="40" t="s">
        <v>20</v>
      </c>
      <c r="C225" s="42">
        <v>5.1999999999999998E-3</v>
      </c>
      <c r="D225" s="42" t="s">
        <v>28</v>
      </c>
      <c r="E225" s="42" t="s">
        <v>40</v>
      </c>
      <c r="F225" s="126">
        <v>5.3892617449664434E-2</v>
      </c>
      <c r="G225" s="42" t="s">
        <v>28</v>
      </c>
      <c r="H225" s="42" t="s">
        <v>40</v>
      </c>
      <c r="I225" s="42"/>
      <c r="J225" s="42" t="s">
        <v>77</v>
      </c>
    </row>
    <row r="226" spans="1:17" x14ac:dyDescent="0.25">
      <c r="A226" s="42" t="s">
        <v>586</v>
      </c>
      <c r="B226" s="40" t="s">
        <v>20</v>
      </c>
      <c r="C226" s="42">
        <v>5.5999999999999999E-3</v>
      </c>
      <c r="D226" s="42" t="s">
        <v>28</v>
      </c>
      <c r="E226" s="42" t="s">
        <v>40</v>
      </c>
      <c r="F226" s="126">
        <v>4.5100671140939602E-2</v>
      </c>
      <c r="G226" s="42" t="s">
        <v>28</v>
      </c>
      <c r="H226" s="42" t="s">
        <v>40</v>
      </c>
      <c r="I226" s="42"/>
      <c r="J226" s="42" t="s">
        <v>77</v>
      </c>
    </row>
    <row r="228" spans="1:17" x14ac:dyDescent="0.25">
      <c r="A228" s="2" t="s">
        <v>490</v>
      </c>
      <c r="B228" s="2"/>
      <c r="C228" s="2"/>
      <c r="D228" s="2"/>
      <c r="E228" s="2"/>
      <c r="F228" s="2"/>
      <c r="G228" s="2"/>
      <c r="H228" s="2"/>
      <c r="I228" s="2"/>
      <c r="J228" s="2"/>
      <c r="K228" s="2"/>
      <c r="L228" s="2"/>
      <c r="M228" s="2"/>
      <c r="N228" s="2"/>
      <c r="O228" s="2"/>
      <c r="P228" s="2"/>
      <c r="Q228" s="2"/>
    </row>
    <row r="229" spans="1:17" x14ac:dyDescent="0.25">
      <c r="C229"/>
      <c r="D229"/>
      <c r="E229"/>
    </row>
    <row r="230" spans="1:17" ht="26.4" x14ac:dyDescent="0.25">
      <c r="A230" s="49" t="s">
        <v>39</v>
      </c>
      <c r="B230" s="123" t="s">
        <v>7</v>
      </c>
      <c r="C230" s="123" t="s">
        <v>1</v>
      </c>
      <c r="D230" s="123" t="s">
        <v>8</v>
      </c>
      <c r="E230" s="123" t="s">
        <v>9</v>
      </c>
      <c r="F230" s="123" t="s">
        <v>10</v>
      </c>
      <c r="G230" s="123" t="s">
        <v>2</v>
      </c>
      <c r="H230" s="123" t="s">
        <v>23</v>
      </c>
      <c r="I230" s="123" t="s">
        <v>24</v>
      </c>
      <c r="J230" s="123" t="s">
        <v>3</v>
      </c>
      <c r="K230" s="123" t="s">
        <v>25</v>
      </c>
      <c r="L230" s="123" t="s">
        <v>26</v>
      </c>
      <c r="M230" s="123" t="s">
        <v>11</v>
      </c>
      <c r="N230" s="123" t="s">
        <v>13</v>
      </c>
      <c r="O230" s="123" t="s">
        <v>0</v>
      </c>
      <c r="P230" s="123" t="s">
        <v>592</v>
      </c>
      <c r="Q230" s="123" t="s">
        <v>88</v>
      </c>
    </row>
    <row r="231" spans="1:17" x14ac:dyDescent="0.25">
      <c r="A231" s="42" t="s">
        <v>535</v>
      </c>
      <c r="B231" s="42" t="s">
        <v>20</v>
      </c>
      <c r="C231" s="42">
        <v>0.14011999999999999</v>
      </c>
      <c r="D231" s="43" t="s">
        <v>534</v>
      </c>
      <c r="E231" s="42" t="s">
        <v>15</v>
      </c>
      <c r="F231" s="42" t="s">
        <v>40</v>
      </c>
      <c r="G231" s="42">
        <v>1.2800000000000001E-2</v>
      </c>
      <c r="H231" s="42" t="s">
        <v>28</v>
      </c>
      <c r="I231" s="42" t="s">
        <v>40</v>
      </c>
      <c r="J231" s="126">
        <v>1.2080000000000001E-3</v>
      </c>
      <c r="K231" s="42" t="s">
        <v>28</v>
      </c>
      <c r="L231" s="42" t="s">
        <v>40</v>
      </c>
      <c r="M231" s="42"/>
      <c r="N231" s="42" t="s">
        <v>77</v>
      </c>
      <c r="O231" s="40" t="s">
        <v>168</v>
      </c>
      <c r="P231" s="54">
        <f t="shared" ref="P231:P262" si="0">VLOOKUP(O231,Ref_EF_ByFuel_UK,3,FALSE)/C231</f>
        <v>16.634741650014274</v>
      </c>
      <c r="Q231" s="43" t="s">
        <v>372</v>
      </c>
    </row>
    <row r="232" spans="1:17" x14ac:dyDescent="0.25">
      <c r="A232" s="42" t="s">
        <v>536</v>
      </c>
      <c r="B232" s="42" t="s">
        <v>20</v>
      </c>
      <c r="C232" s="42">
        <v>0.17751</v>
      </c>
      <c r="D232" s="43" t="s">
        <v>534</v>
      </c>
      <c r="E232" s="42" t="s">
        <v>15</v>
      </c>
      <c r="F232" s="42" t="s">
        <v>40</v>
      </c>
      <c r="G232" s="42">
        <v>1.2800000000000001E-2</v>
      </c>
      <c r="H232" s="42" t="s">
        <v>28</v>
      </c>
      <c r="I232" s="42" t="s">
        <v>40</v>
      </c>
      <c r="J232" s="126">
        <v>1.2080000000000001E-3</v>
      </c>
      <c r="K232" s="42" t="s">
        <v>28</v>
      </c>
      <c r="L232" s="42" t="s">
        <v>40</v>
      </c>
      <c r="M232" s="42"/>
      <c r="N232" s="42" t="s">
        <v>77</v>
      </c>
      <c r="O232" s="40" t="s">
        <v>168</v>
      </c>
      <c r="P232" s="54">
        <f t="shared" si="0"/>
        <v>13.130865866711734</v>
      </c>
      <c r="Q232" s="43" t="s">
        <v>373</v>
      </c>
    </row>
    <row r="233" spans="1:17" x14ac:dyDescent="0.25">
      <c r="A233" s="43" t="s">
        <v>537</v>
      </c>
      <c r="B233" s="43" t="s">
        <v>20</v>
      </c>
      <c r="C233" s="43">
        <v>0.27156000000000002</v>
      </c>
      <c r="D233" s="43" t="s">
        <v>534</v>
      </c>
      <c r="E233" s="42" t="s">
        <v>15</v>
      </c>
      <c r="F233" s="42" t="s">
        <v>40</v>
      </c>
      <c r="G233" s="42">
        <v>1.2800000000000001E-2</v>
      </c>
      <c r="H233" s="42" t="s">
        <v>28</v>
      </c>
      <c r="I233" s="42" t="s">
        <v>40</v>
      </c>
      <c r="J233" s="126">
        <v>1.2080000000000001E-3</v>
      </c>
      <c r="K233" s="42" t="s">
        <v>28</v>
      </c>
      <c r="L233" s="42" t="s">
        <v>40</v>
      </c>
      <c r="M233" s="42"/>
      <c r="N233" s="42" t="s">
        <v>77</v>
      </c>
      <c r="O233" s="40" t="s">
        <v>168</v>
      </c>
      <c r="P233" s="54">
        <f t="shared" si="0"/>
        <v>8.5832228605096468</v>
      </c>
      <c r="Q233" s="43" t="s">
        <v>374</v>
      </c>
    </row>
    <row r="234" spans="1:17" s="132" customFormat="1" ht="30.75" customHeight="1" x14ac:dyDescent="0.25">
      <c r="A234" s="43" t="s">
        <v>538</v>
      </c>
      <c r="B234" s="43" t="s">
        <v>20</v>
      </c>
      <c r="C234" s="43">
        <v>0.16322999999999999</v>
      </c>
      <c r="D234" s="43" t="s">
        <v>534</v>
      </c>
      <c r="E234" s="42" t="s">
        <v>15</v>
      </c>
      <c r="F234" s="42" t="s">
        <v>40</v>
      </c>
      <c r="G234" s="42">
        <v>1.2800000000000001E-2</v>
      </c>
      <c r="H234" s="42" t="s">
        <v>28</v>
      </c>
      <c r="I234" s="42" t="s">
        <v>40</v>
      </c>
      <c r="J234" s="126">
        <v>1.2080000000000001E-3</v>
      </c>
      <c r="K234" s="42" t="s">
        <v>28</v>
      </c>
      <c r="L234" s="42" t="s">
        <v>40</v>
      </c>
      <c r="M234" s="42"/>
      <c r="N234" s="42" t="s">
        <v>77</v>
      </c>
      <c r="O234" s="40" t="s">
        <v>168</v>
      </c>
      <c r="P234" s="54">
        <f t="shared" si="0"/>
        <v>14.279605464681739</v>
      </c>
      <c r="Q234" s="43" t="s">
        <v>375</v>
      </c>
    </row>
    <row r="235" spans="1:17" x14ac:dyDescent="0.25">
      <c r="A235" s="43" t="s">
        <v>539</v>
      </c>
      <c r="B235" s="43" t="s">
        <v>20</v>
      </c>
      <c r="C235" s="43">
        <v>0.13763</v>
      </c>
      <c r="D235" s="43" t="s">
        <v>534</v>
      </c>
      <c r="E235" s="42" t="s">
        <v>15</v>
      </c>
      <c r="F235" s="42" t="s">
        <v>40</v>
      </c>
      <c r="G235" s="42">
        <v>1.66E-4</v>
      </c>
      <c r="H235" s="42" t="s">
        <v>28</v>
      </c>
      <c r="I235" s="42" t="s">
        <v>40</v>
      </c>
      <c r="J235" s="126">
        <v>6.3090000000000004E-3</v>
      </c>
      <c r="K235" s="42" t="s">
        <v>28</v>
      </c>
      <c r="L235" s="42" t="s">
        <v>40</v>
      </c>
      <c r="M235" s="42"/>
      <c r="N235" s="42" t="s">
        <v>77</v>
      </c>
      <c r="O235" s="40" t="s">
        <v>166</v>
      </c>
      <c r="P235" s="54">
        <f t="shared" si="0"/>
        <v>19.080142410811597</v>
      </c>
      <c r="Q235" s="43" t="s">
        <v>376</v>
      </c>
    </row>
    <row r="236" spans="1:17" x14ac:dyDescent="0.25">
      <c r="A236" s="43" t="s">
        <v>540</v>
      </c>
      <c r="B236" s="43" t="s">
        <v>20</v>
      </c>
      <c r="C236" s="43">
        <v>0.16547999999999999</v>
      </c>
      <c r="D236" s="43" t="s">
        <v>534</v>
      </c>
      <c r="E236" s="42" t="s">
        <v>15</v>
      </c>
      <c r="F236" s="42" t="s">
        <v>40</v>
      </c>
      <c r="G236" s="42">
        <v>1.66E-4</v>
      </c>
      <c r="H236" s="42" t="s">
        <v>28</v>
      </c>
      <c r="I236" s="42" t="s">
        <v>40</v>
      </c>
      <c r="J236" s="126">
        <v>6.3090000000000004E-3</v>
      </c>
      <c r="K236" s="42" t="s">
        <v>28</v>
      </c>
      <c r="L236" s="42" t="s">
        <v>40</v>
      </c>
      <c r="M236" s="42"/>
      <c r="N236" s="42" t="s">
        <v>77</v>
      </c>
      <c r="O236" s="40" t="s">
        <v>166</v>
      </c>
      <c r="P236" s="54">
        <f t="shared" si="0"/>
        <v>15.868987188784143</v>
      </c>
      <c r="Q236" s="43" t="s">
        <v>377</v>
      </c>
    </row>
    <row r="237" spans="1:17" x14ac:dyDescent="0.25">
      <c r="A237" s="43" t="s">
        <v>541</v>
      </c>
      <c r="B237" s="43" t="s">
        <v>20</v>
      </c>
      <c r="C237" s="43">
        <v>0.20691000000000001</v>
      </c>
      <c r="D237" s="43" t="s">
        <v>534</v>
      </c>
      <c r="E237" s="42" t="s">
        <v>15</v>
      </c>
      <c r="F237" s="42" t="s">
        <v>40</v>
      </c>
      <c r="G237" s="42">
        <v>1.66E-4</v>
      </c>
      <c r="H237" s="42" t="s">
        <v>28</v>
      </c>
      <c r="I237" s="42" t="s">
        <v>40</v>
      </c>
      <c r="J237" s="126">
        <v>6.3090000000000004E-3</v>
      </c>
      <c r="K237" s="42" t="s">
        <v>28</v>
      </c>
      <c r="L237" s="42" t="s">
        <v>40</v>
      </c>
      <c r="M237" s="42"/>
      <c r="N237" s="42" t="s">
        <v>77</v>
      </c>
      <c r="O237" s="40" t="s">
        <v>166</v>
      </c>
      <c r="P237" s="54">
        <f t="shared" si="0"/>
        <v>12.691508385288289</v>
      </c>
      <c r="Q237" s="43" t="s">
        <v>374</v>
      </c>
    </row>
    <row r="238" spans="1:17" x14ac:dyDescent="0.25">
      <c r="A238" s="43" t="s">
        <v>542</v>
      </c>
      <c r="B238" s="43" t="s">
        <v>20</v>
      </c>
      <c r="C238" s="43">
        <v>0.16814999999999999</v>
      </c>
      <c r="D238" s="43" t="s">
        <v>534</v>
      </c>
      <c r="E238" s="42" t="s">
        <v>15</v>
      </c>
      <c r="F238" s="42" t="s">
        <v>40</v>
      </c>
      <c r="G238" s="42">
        <v>1.66E-4</v>
      </c>
      <c r="H238" s="42" t="s">
        <v>28</v>
      </c>
      <c r="I238" s="42" t="s">
        <v>40</v>
      </c>
      <c r="J238" s="126">
        <v>6.3090000000000004E-3</v>
      </c>
      <c r="K238" s="42" t="s">
        <v>28</v>
      </c>
      <c r="L238" s="42" t="s">
        <v>40</v>
      </c>
      <c r="M238" s="42"/>
      <c r="N238" s="42" t="s">
        <v>77</v>
      </c>
      <c r="O238" s="40" t="s">
        <v>166</v>
      </c>
      <c r="P238" s="54">
        <f t="shared" si="0"/>
        <v>15.617008623253048</v>
      </c>
      <c r="Q238" s="43" t="s">
        <v>375</v>
      </c>
    </row>
    <row r="239" spans="1:17" x14ac:dyDescent="0.25">
      <c r="A239" s="43" t="s">
        <v>543</v>
      </c>
      <c r="B239" s="43" t="s">
        <v>20</v>
      </c>
      <c r="C239" s="43">
        <v>0.10049</v>
      </c>
      <c r="D239" s="43" t="s">
        <v>534</v>
      </c>
      <c r="E239" s="42" t="s">
        <v>15</v>
      </c>
      <c r="F239" s="42" t="s">
        <v>40</v>
      </c>
      <c r="G239" s="42">
        <v>8.3999999999999995E-3</v>
      </c>
      <c r="H239" s="42" t="s">
        <v>28</v>
      </c>
      <c r="I239" s="42" t="s">
        <v>40</v>
      </c>
      <c r="J239" s="126">
        <v>2.9190000000000002E-3</v>
      </c>
      <c r="K239" s="42" t="s">
        <v>28</v>
      </c>
      <c r="L239" s="42" t="s">
        <v>40</v>
      </c>
      <c r="M239" s="42"/>
      <c r="N239" s="42" t="s">
        <v>77</v>
      </c>
      <c r="O239" s="40" t="s">
        <v>168</v>
      </c>
      <c r="P239" s="54">
        <f t="shared" si="0"/>
        <v>23.194944770623945</v>
      </c>
      <c r="Q239" s="43" t="s">
        <v>372</v>
      </c>
    </row>
    <row r="240" spans="1:17" x14ac:dyDescent="0.25">
      <c r="A240" s="43" t="s">
        <v>544</v>
      </c>
      <c r="B240" s="43" t="s">
        <v>20</v>
      </c>
      <c r="C240" s="43">
        <v>0.10783</v>
      </c>
      <c r="D240" s="43" t="s">
        <v>534</v>
      </c>
      <c r="E240" s="42" t="s">
        <v>15</v>
      </c>
      <c r="F240" s="42" t="s">
        <v>40</v>
      </c>
      <c r="G240" s="42">
        <v>6.0000000000000001E-3</v>
      </c>
      <c r="H240" s="42" t="s">
        <v>28</v>
      </c>
      <c r="I240" s="42" t="s">
        <v>40</v>
      </c>
      <c r="J240" s="126">
        <v>3.9259999999999998E-3</v>
      </c>
      <c r="K240" s="42" t="s">
        <v>28</v>
      </c>
      <c r="L240" s="42" t="s">
        <v>40</v>
      </c>
      <c r="M240" s="42"/>
      <c r="N240" s="42" t="s">
        <v>77</v>
      </c>
      <c r="O240" s="40" t="s">
        <v>168</v>
      </c>
      <c r="P240" s="54">
        <f t="shared" si="0"/>
        <v>21.616062320319021</v>
      </c>
      <c r="Q240" s="43" t="s">
        <v>373</v>
      </c>
    </row>
    <row r="241" spans="1:17" x14ac:dyDescent="0.25">
      <c r="A241" s="43" t="s">
        <v>545</v>
      </c>
      <c r="B241" s="43" t="s">
        <v>20</v>
      </c>
      <c r="C241" s="43">
        <v>0.15101000000000001</v>
      </c>
      <c r="D241" s="43" t="s">
        <v>534</v>
      </c>
      <c r="E241" s="42" t="s">
        <v>15</v>
      </c>
      <c r="F241" s="42" t="s">
        <v>40</v>
      </c>
      <c r="G241" s="42">
        <v>3.5999999999999999E-3</v>
      </c>
      <c r="H241" s="42" t="s">
        <v>28</v>
      </c>
      <c r="I241" s="42" t="s">
        <v>40</v>
      </c>
      <c r="J241" s="126">
        <v>5.0000000000000001E-3</v>
      </c>
      <c r="K241" s="42" t="s">
        <v>28</v>
      </c>
      <c r="L241" s="42" t="s">
        <v>40</v>
      </c>
      <c r="M241" s="42"/>
      <c r="N241" s="42" t="s">
        <v>77</v>
      </c>
      <c r="O241" s="40" t="s">
        <v>168</v>
      </c>
      <c r="P241" s="54">
        <f t="shared" si="0"/>
        <v>15.435136745910865</v>
      </c>
      <c r="Q241" s="43" t="s">
        <v>374</v>
      </c>
    </row>
    <row r="242" spans="1:17" x14ac:dyDescent="0.25">
      <c r="A242" s="43" t="s">
        <v>546</v>
      </c>
      <c r="B242" s="43" t="s">
        <v>20</v>
      </c>
      <c r="C242" s="43">
        <v>0.11781</v>
      </c>
      <c r="D242" s="43" t="s">
        <v>534</v>
      </c>
      <c r="E242" s="42" t="s">
        <v>15</v>
      </c>
      <c r="F242" s="42" t="s">
        <v>40</v>
      </c>
      <c r="G242" s="42">
        <v>6.7999999999999996E-3</v>
      </c>
      <c r="H242" s="42" t="s">
        <v>28</v>
      </c>
      <c r="I242" s="42" t="s">
        <v>40</v>
      </c>
      <c r="J242" s="126">
        <v>3.6909999999999998E-3</v>
      </c>
      <c r="K242" s="42" t="s">
        <v>28</v>
      </c>
      <c r="L242" s="42" t="s">
        <v>40</v>
      </c>
      <c r="M242" s="42"/>
      <c r="N242" s="42" t="s">
        <v>77</v>
      </c>
      <c r="O242" s="40" t="s">
        <v>168</v>
      </c>
      <c r="P242" s="54">
        <f t="shared" si="0"/>
        <v>19.784907902554963</v>
      </c>
      <c r="Q242" s="43" t="s">
        <v>375</v>
      </c>
    </row>
    <row r="243" spans="1:17" x14ac:dyDescent="0.25">
      <c r="A243" s="43" t="s">
        <v>547</v>
      </c>
      <c r="B243" s="43" t="s">
        <v>20</v>
      </c>
      <c r="C243" s="43">
        <v>0.15447</v>
      </c>
      <c r="D243" s="43" t="s">
        <v>534</v>
      </c>
      <c r="E243" s="42" t="s">
        <v>15</v>
      </c>
      <c r="F243" s="42" t="s">
        <v>40</v>
      </c>
      <c r="G243" s="42">
        <v>6.3200000000000006E-2</v>
      </c>
      <c r="H243" s="42" t="s">
        <v>28</v>
      </c>
      <c r="I243" s="42" t="s">
        <v>40</v>
      </c>
      <c r="J243" s="126">
        <v>1.3758389261744966E-3</v>
      </c>
      <c r="K243" s="42" t="s">
        <v>28</v>
      </c>
      <c r="L243" s="42" t="s">
        <v>40</v>
      </c>
      <c r="M243" s="42"/>
      <c r="N243" s="42" t="s">
        <v>77</v>
      </c>
      <c r="O243" s="39" t="s">
        <v>157</v>
      </c>
      <c r="P243" s="54">
        <f t="shared" si="0"/>
        <v>2.8974558166634301</v>
      </c>
      <c r="Q243" s="43" t="s">
        <v>373</v>
      </c>
    </row>
    <row r="244" spans="1:17" x14ac:dyDescent="0.25">
      <c r="A244" s="43" t="s">
        <v>548</v>
      </c>
      <c r="B244" s="43" t="s">
        <v>20</v>
      </c>
      <c r="C244" s="43">
        <v>0.23632</v>
      </c>
      <c r="D244" s="43" t="s">
        <v>534</v>
      </c>
      <c r="E244" s="42" t="s">
        <v>15</v>
      </c>
      <c r="F244" s="42" t="s">
        <v>40</v>
      </c>
      <c r="G244" s="42">
        <v>6.3200000000000006E-2</v>
      </c>
      <c r="H244" s="42" t="s">
        <v>28</v>
      </c>
      <c r="I244" s="42" t="s">
        <v>40</v>
      </c>
      <c r="J244" s="126">
        <v>1.3758389261744966E-3</v>
      </c>
      <c r="K244" s="42" t="s">
        <v>28</v>
      </c>
      <c r="L244" s="42" t="s">
        <v>40</v>
      </c>
      <c r="M244" s="42"/>
      <c r="N244" s="42" t="s">
        <v>77</v>
      </c>
      <c r="O244" s="39" t="s">
        <v>157</v>
      </c>
      <c r="P244" s="54">
        <f t="shared" si="0"/>
        <v>1.8939150304671633</v>
      </c>
      <c r="Q244" s="43" t="s">
        <v>374</v>
      </c>
    </row>
    <row r="245" spans="1:17" x14ac:dyDescent="0.25">
      <c r="A245" s="42" t="s">
        <v>549</v>
      </c>
      <c r="B245" s="42" t="s">
        <v>20</v>
      </c>
      <c r="C245" s="42">
        <v>0.17291000000000001</v>
      </c>
      <c r="D245" s="43" t="s">
        <v>534</v>
      </c>
      <c r="E245" s="42" t="s">
        <v>15</v>
      </c>
      <c r="F245" s="42" t="s">
        <v>40</v>
      </c>
      <c r="G245" s="42">
        <v>6.3200000000000006E-2</v>
      </c>
      <c r="H245" s="42" t="s">
        <v>28</v>
      </c>
      <c r="I245" s="42" t="s">
        <v>40</v>
      </c>
      <c r="J245" s="126">
        <v>1.3758389261744966E-3</v>
      </c>
      <c r="K245" s="42" t="s">
        <v>28</v>
      </c>
      <c r="L245" s="42" t="s">
        <v>40</v>
      </c>
      <c r="M245" s="42"/>
      <c r="N245" s="42" t="s">
        <v>77</v>
      </c>
      <c r="O245" s="39" t="s">
        <v>157</v>
      </c>
      <c r="P245" s="54">
        <f t="shared" si="0"/>
        <v>2.5884564224162858</v>
      </c>
      <c r="Q245" s="43" t="s">
        <v>375</v>
      </c>
    </row>
    <row r="246" spans="1:17" x14ac:dyDescent="0.25">
      <c r="A246" s="42" t="s">
        <v>550</v>
      </c>
      <c r="B246" s="42" t="s">
        <v>20</v>
      </c>
      <c r="C246" s="42">
        <v>0.17565</v>
      </c>
      <c r="D246" s="43" t="s">
        <v>534</v>
      </c>
      <c r="E246" s="42" t="s">
        <v>15</v>
      </c>
      <c r="F246" s="42" t="s">
        <v>40</v>
      </c>
      <c r="G246" s="42">
        <v>2.0000000000000005E-3</v>
      </c>
      <c r="H246" s="42" t="s">
        <v>28</v>
      </c>
      <c r="I246" s="42" t="s">
        <v>40</v>
      </c>
      <c r="J246" s="126">
        <v>1.3758389261744966E-3</v>
      </c>
      <c r="K246" s="42" t="s">
        <v>28</v>
      </c>
      <c r="L246" s="42" t="s">
        <v>40</v>
      </c>
      <c r="M246" s="42"/>
      <c r="N246" s="42" t="s">
        <v>77</v>
      </c>
      <c r="O246" s="40" t="s">
        <v>156</v>
      </c>
      <c r="P246" s="54">
        <f t="shared" si="0"/>
        <v>8.8523199544548827</v>
      </c>
      <c r="Q246" s="43" t="s">
        <v>373</v>
      </c>
    </row>
    <row r="247" spans="1:17" x14ac:dyDescent="0.25">
      <c r="A247" s="42" t="s">
        <v>551</v>
      </c>
      <c r="B247" s="42" t="s">
        <v>20</v>
      </c>
      <c r="C247" s="42">
        <v>0.26872000000000001</v>
      </c>
      <c r="D247" s="43" t="s">
        <v>534</v>
      </c>
      <c r="E247" s="42" t="s">
        <v>15</v>
      </c>
      <c r="F247" s="42" t="s">
        <v>40</v>
      </c>
      <c r="G247" s="42">
        <v>2.0000000000000005E-3</v>
      </c>
      <c r="H247" s="42" t="s">
        <v>28</v>
      </c>
      <c r="I247" s="42" t="s">
        <v>40</v>
      </c>
      <c r="J247" s="126">
        <v>1.3758389261744966E-3</v>
      </c>
      <c r="K247" s="42" t="s">
        <v>28</v>
      </c>
      <c r="L247" s="42" t="s">
        <v>40</v>
      </c>
      <c r="M247" s="42"/>
      <c r="N247" s="42" t="s">
        <v>77</v>
      </c>
      <c r="O247" s="40" t="s">
        <v>156</v>
      </c>
      <c r="P247" s="54">
        <f t="shared" si="0"/>
        <v>5.7863575468889552</v>
      </c>
      <c r="Q247" s="43" t="s">
        <v>374</v>
      </c>
    </row>
    <row r="248" spans="1:17" x14ac:dyDescent="0.25">
      <c r="A248" s="42" t="s">
        <v>552</v>
      </c>
      <c r="B248" s="42" t="s">
        <v>20</v>
      </c>
      <c r="C248" s="42">
        <v>0.19661999999999999</v>
      </c>
      <c r="D248" s="43" t="s">
        <v>534</v>
      </c>
      <c r="E248" s="42" t="s">
        <v>15</v>
      </c>
      <c r="F248" s="42" t="s">
        <v>40</v>
      </c>
      <c r="G248" s="42">
        <v>2.0000000000000005E-3</v>
      </c>
      <c r="H248" s="42" t="s">
        <v>28</v>
      </c>
      <c r="I248" s="42" t="s">
        <v>40</v>
      </c>
      <c r="J248" s="126">
        <v>1.3758389261744966E-3</v>
      </c>
      <c r="K248" s="42" t="s">
        <v>28</v>
      </c>
      <c r="L248" s="42" t="s">
        <v>40</v>
      </c>
      <c r="M248" s="42"/>
      <c r="N248" s="42" t="s">
        <v>77</v>
      </c>
      <c r="O248" s="40" t="s">
        <v>156</v>
      </c>
      <c r="P248" s="54">
        <f t="shared" si="0"/>
        <v>7.9081985555894621</v>
      </c>
      <c r="Q248" s="43" t="s">
        <v>375</v>
      </c>
    </row>
    <row r="249" spans="1:17" x14ac:dyDescent="0.25">
      <c r="A249" s="42" t="s">
        <v>553</v>
      </c>
      <c r="B249" s="42" t="s">
        <v>20</v>
      </c>
      <c r="C249" s="42">
        <v>0.18146999999999999</v>
      </c>
      <c r="D249" s="43" t="s">
        <v>534</v>
      </c>
      <c r="E249" s="42" t="s">
        <v>15</v>
      </c>
      <c r="F249" s="42" t="s">
        <v>40</v>
      </c>
      <c r="G249" s="42">
        <v>9.6000000000000009E-3</v>
      </c>
      <c r="H249" s="42" t="s">
        <v>28</v>
      </c>
      <c r="I249" s="42" t="s">
        <v>40</v>
      </c>
      <c r="J249" s="126">
        <v>1.6442953020134228E-3</v>
      </c>
      <c r="K249" s="42" t="s">
        <v>28</v>
      </c>
      <c r="L249" s="42" t="s">
        <v>40</v>
      </c>
      <c r="M249" s="42"/>
      <c r="N249" s="42" t="s">
        <v>77</v>
      </c>
      <c r="O249" s="40" t="s">
        <v>168</v>
      </c>
      <c r="P249" s="54">
        <f t="shared" si="0"/>
        <v>12.844326885986664</v>
      </c>
      <c r="Q249" s="43" t="s">
        <v>378</v>
      </c>
    </row>
    <row r="250" spans="1:17" x14ac:dyDescent="0.25">
      <c r="A250" s="42" t="s">
        <v>554</v>
      </c>
      <c r="B250" s="42" t="s">
        <v>20</v>
      </c>
      <c r="C250" s="42">
        <v>0.19524</v>
      </c>
      <c r="D250" s="43" t="s">
        <v>534</v>
      </c>
      <c r="E250" s="42" t="s">
        <v>15</v>
      </c>
      <c r="F250" s="42" t="s">
        <v>40</v>
      </c>
      <c r="G250" s="42">
        <v>9.6000000000000009E-3</v>
      </c>
      <c r="H250" s="42" t="s">
        <v>28</v>
      </c>
      <c r="I250" s="42" t="s">
        <v>40</v>
      </c>
      <c r="J250" s="126">
        <v>1.6442953020134228E-3</v>
      </c>
      <c r="K250" s="42" t="s">
        <v>28</v>
      </c>
      <c r="L250" s="42" t="s">
        <v>40</v>
      </c>
      <c r="M250" s="42"/>
      <c r="N250" s="42" t="s">
        <v>77</v>
      </c>
      <c r="O250" s="40" t="s">
        <v>168</v>
      </c>
      <c r="P250" s="54">
        <f t="shared" si="0"/>
        <v>11.938434746978078</v>
      </c>
      <c r="Q250" s="43" t="s">
        <v>379</v>
      </c>
    </row>
    <row r="251" spans="1:17" x14ac:dyDescent="0.25">
      <c r="A251" s="42" t="s">
        <v>555</v>
      </c>
      <c r="B251" s="42" t="s">
        <v>20</v>
      </c>
      <c r="C251" s="42">
        <v>0.31374000000000002</v>
      </c>
      <c r="D251" s="43" t="s">
        <v>534</v>
      </c>
      <c r="E251" s="42" t="s">
        <v>15</v>
      </c>
      <c r="F251" s="42" t="s">
        <v>40</v>
      </c>
      <c r="G251" s="42">
        <v>9.6000000000000009E-3</v>
      </c>
      <c r="H251" s="42" t="s">
        <v>28</v>
      </c>
      <c r="I251" s="42" t="s">
        <v>40</v>
      </c>
      <c r="J251" s="126">
        <v>1.6442953020134228E-3</v>
      </c>
      <c r="K251" s="42" t="s">
        <v>28</v>
      </c>
      <c r="L251" s="42" t="s">
        <v>40</v>
      </c>
      <c r="M251" s="42"/>
      <c r="N251" s="42" t="s">
        <v>77</v>
      </c>
      <c r="O251" s="40" t="s">
        <v>168</v>
      </c>
      <c r="P251" s="54">
        <f t="shared" si="0"/>
        <v>7.4292726461401157</v>
      </c>
      <c r="Q251" s="43" t="s">
        <v>380</v>
      </c>
    </row>
    <row r="252" spans="1:17" x14ac:dyDescent="0.25">
      <c r="A252" s="42" t="s">
        <v>556</v>
      </c>
      <c r="B252" s="42" t="s">
        <v>20</v>
      </c>
      <c r="C252" s="42">
        <v>0.20061999999999999</v>
      </c>
      <c r="D252" s="43" t="s">
        <v>534</v>
      </c>
      <c r="E252" s="42" t="s">
        <v>15</v>
      </c>
      <c r="F252" s="42" t="s">
        <v>40</v>
      </c>
      <c r="G252" s="42">
        <v>9.6000000000000009E-3</v>
      </c>
      <c r="H252" s="42" t="s">
        <v>28</v>
      </c>
      <c r="I252" s="42" t="s">
        <v>40</v>
      </c>
      <c r="J252" s="126">
        <v>1.6442953020134228E-3</v>
      </c>
      <c r="K252" s="42" t="s">
        <v>28</v>
      </c>
      <c r="L252" s="42" t="s">
        <v>40</v>
      </c>
      <c r="M252" s="42"/>
      <c r="N252" s="42" t="s">
        <v>77</v>
      </c>
      <c r="O252" s="40" t="s">
        <v>168</v>
      </c>
      <c r="P252" s="54">
        <f t="shared" si="0"/>
        <v>11.618283321702721</v>
      </c>
      <c r="Q252" s="43" t="s">
        <v>381</v>
      </c>
    </row>
    <row r="253" spans="1:17" x14ac:dyDescent="0.25">
      <c r="A253" s="42" t="s">
        <v>557</v>
      </c>
      <c r="B253" s="42" t="s">
        <v>20</v>
      </c>
      <c r="C253" s="42">
        <v>0.22963</v>
      </c>
      <c r="D253" s="43" t="s">
        <v>534</v>
      </c>
      <c r="E253" s="42" t="s">
        <v>15</v>
      </c>
      <c r="F253" s="42" t="s">
        <v>40</v>
      </c>
      <c r="G253" s="42">
        <v>0</v>
      </c>
      <c r="H253" s="42" t="s">
        <v>28</v>
      </c>
      <c r="I253" s="42" t="s">
        <v>40</v>
      </c>
      <c r="J253" s="126">
        <v>6.2416107382550334E-3</v>
      </c>
      <c r="K253" s="42" t="s">
        <v>28</v>
      </c>
      <c r="L253" s="42" t="s">
        <v>40</v>
      </c>
      <c r="M253" s="42"/>
      <c r="N253" s="42" t="s">
        <v>77</v>
      </c>
      <c r="O253" s="40" t="s">
        <v>166</v>
      </c>
      <c r="P253" s="54">
        <f t="shared" si="0"/>
        <v>11.435788006793537</v>
      </c>
      <c r="Q253" s="43" t="s">
        <v>381</v>
      </c>
    </row>
    <row r="254" spans="1:17" x14ac:dyDescent="0.25">
      <c r="A254" s="42" t="s">
        <v>558</v>
      </c>
      <c r="B254" s="42" t="s">
        <v>20</v>
      </c>
      <c r="C254" s="42">
        <v>0.2545</v>
      </c>
      <c r="D254" s="43" t="s">
        <v>534</v>
      </c>
      <c r="E254" s="42" t="s">
        <v>15</v>
      </c>
      <c r="F254" s="42" t="s">
        <v>40</v>
      </c>
      <c r="G254" s="42">
        <v>1.6000000000000001E-3</v>
      </c>
      <c r="H254" s="42" t="s">
        <v>28</v>
      </c>
      <c r="I254" s="42" t="s">
        <v>40</v>
      </c>
      <c r="J254" s="126">
        <v>1.8791946308724832E-3</v>
      </c>
      <c r="K254" s="42" t="s">
        <v>28</v>
      </c>
      <c r="L254" s="42" t="s">
        <v>40</v>
      </c>
      <c r="M254" s="42"/>
      <c r="N254" s="42" t="s">
        <v>77</v>
      </c>
      <c r="O254" s="40" t="s">
        <v>156</v>
      </c>
      <c r="P254" s="54">
        <f t="shared" si="0"/>
        <v>6.1096660117878194</v>
      </c>
      <c r="Q254" s="43" t="s">
        <v>381</v>
      </c>
    </row>
    <row r="255" spans="1:17" x14ac:dyDescent="0.25">
      <c r="A255" s="42" t="s">
        <v>559</v>
      </c>
      <c r="B255" s="42" t="s">
        <v>20</v>
      </c>
      <c r="C255" s="42">
        <v>0.23027</v>
      </c>
      <c r="D255" s="43" t="s">
        <v>534</v>
      </c>
      <c r="E255" s="42" t="s">
        <v>15</v>
      </c>
      <c r="F255" s="42" t="s">
        <v>40</v>
      </c>
      <c r="G255" s="42">
        <v>4.7200000000000006E-2</v>
      </c>
      <c r="H255" s="42" t="s">
        <v>28</v>
      </c>
      <c r="I255" s="42" t="s">
        <v>40</v>
      </c>
      <c r="J255" s="126">
        <v>1.8791946308724832E-3</v>
      </c>
      <c r="K255" s="42" t="s">
        <v>28</v>
      </c>
      <c r="L255" s="42" t="s">
        <v>40</v>
      </c>
      <c r="M255" s="42"/>
      <c r="N255" s="42" t="s">
        <v>77</v>
      </c>
      <c r="O255" s="39" t="s">
        <v>157</v>
      </c>
      <c r="P255" s="54">
        <f t="shared" si="0"/>
        <v>1.9436748165197377</v>
      </c>
      <c r="Q255" s="43" t="s">
        <v>381</v>
      </c>
    </row>
    <row r="256" spans="1:17" x14ac:dyDescent="0.25">
      <c r="A256" s="42" t="s">
        <v>556</v>
      </c>
      <c r="B256" s="42" t="s">
        <v>20</v>
      </c>
      <c r="C256" s="42">
        <v>0.22874</v>
      </c>
      <c r="D256" s="43" t="s">
        <v>534</v>
      </c>
      <c r="E256" s="42" t="s">
        <v>15</v>
      </c>
      <c r="F256" s="42" t="s">
        <v>40</v>
      </c>
      <c r="G256" s="42">
        <v>4.0000000000000002E-4</v>
      </c>
      <c r="H256" s="42" t="s">
        <v>28</v>
      </c>
      <c r="I256" s="42" t="s">
        <v>40</v>
      </c>
      <c r="J256" s="126">
        <v>6.1073825503355694E-3</v>
      </c>
      <c r="K256" s="42" t="s">
        <v>28</v>
      </c>
      <c r="L256" s="42" t="s">
        <v>40</v>
      </c>
      <c r="M256" s="42"/>
      <c r="N256" s="42" t="s">
        <v>77</v>
      </c>
      <c r="O256" s="40" t="s">
        <v>168</v>
      </c>
      <c r="P256" s="54">
        <f t="shared" si="0"/>
        <v>10.18999737693451</v>
      </c>
      <c r="Q256" s="43" t="s">
        <v>381</v>
      </c>
    </row>
    <row r="257" spans="1:17" x14ac:dyDescent="0.25">
      <c r="A257" s="43" t="s">
        <v>560</v>
      </c>
      <c r="B257" s="43" t="s">
        <v>20</v>
      </c>
      <c r="C257" s="43">
        <v>8.0939999999999998E-2</v>
      </c>
      <c r="D257" s="43" t="s">
        <v>534</v>
      </c>
      <c r="E257" s="42" t="s">
        <v>15</v>
      </c>
      <c r="F257" s="42" t="s">
        <v>40</v>
      </c>
      <c r="G257" s="42">
        <v>6.2399999999999997E-2</v>
      </c>
      <c r="H257" s="42" t="s">
        <v>28</v>
      </c>
      <c r="I257" s="42" t="s">
        <v>40</v>
      </c>
      <c r="J257" s="126">
        <v>1.8799999999999999E-3</v>
      </c>
      <c r="K257" s="42" t="s">
        <v>28</v>
      </c>
      <c r="L257" s="42" t="s">
        <v>40</v>
      </c>
      <c r="M257" s="42"/>
      <c r="N257" s="42" t="s">
        <v>77</v>
      </c>
      <c r="O257" s="40" t="s">
        <v>168</v>
      </c>
      <c r="P257" s="54">
        <f t="shared" si="0"/>
        <v>28.797380775883369</v>
      </c>
      <c r="Q257" s="43" t="s">
        <v>382</v>
      </c>
    </row>
    <row r="258" spans="1:17" x14ac:dyDescent="0.25">
      <c r="A258" s="43" t="s">
        <v>561</v>
      </c>
      <c r="B258" s="43" t="s">
        <v>20</v>
      </c>
      <c r="C258" s="43">
        <v>9.826E-2</v>
      </c>
      <c r="D258" s="43" t="s">
        <v>534</v>
      </c>
      <c r="E258" s="42" t="s">
        <v>15</v>
      </c>
      <c r="F258" s="42" t="s">
        <v>40</v>
      </c>
      <c r="G258" s="42">
        <v>8.1600000000000006E-2</v>
      </c>
      <c r="H258" s="42" t="s">
        <v>28</v>
      </c>
      <c r="I258" s="42" t="s">
        <v>40</v>
      </c>
      <c r="J258" s="126">
        <v>2.0100000000000001E-3</v>
      </c>
      <c r="K258" s="42" t="s">
        <v>28</v>
      </c>
      <c r="L258" s="42" t="s">
        <v>40</v>
      </c>
      <c r="M258" s="42"/>
      <c r="N258" s="42" t="s">
        <v>77</v>
      </c>
      <c r="O258" s="40" t="s">
        <v>168</v>
      </c>
      <c r="P258" s="54">
        <f t="shared" si="0"/>
        <v>23.721351516385099</v>
      </c>
      <c r="Q258" s="43" t="s">
        <v>383</v>
      </c>
    </row>
    <row r="259" spans="1:17" x14ac:dyDescent="0.25">
      <c r="A259" s="43" t="s">
        <v>562</v>
      </c>
      <c r="B259" s="43" t="s">
        <v>20</v>
      </c>
      <c r="C259" s="43">
        <v>0.13072</v>
      </c>
      <c r="D259" s="43" t="s">
        <v>534</v>
      </c>
      <c r="E259" s="42" t="s">
        <v>15</v>
      </c>
      <c r="F259" s="42" t="s">
        <v>40</v>
      </c>
      <c r="G259" s="42">
        <v>4.5199999999999997E-2</v>
      </c>
      <c r="H259" s="42" t="s">
        <v>28</v>
      </c>
      <c r="I259" s="42" t="s">
        <v>40</v>
      </c>
      <c r="J259" s="126">
        <v>2.0100000000000001E-3</v>
      </c>
      <c r="K259" s="42" t="s">
        <v>28</v>
      </c>
      <c r="L259" s="42" t="s">
        <v>40</v>
      </c>
      <c r="M259" s="42"/>
      <c r="N259" s="42" t="s">
        <v>77</v>
      </c>
      <c r="O259" s="40" t="s">
        <v>168</v>
      </c>
      <c r="P259" s="54">
        <f t="shared" si="0"/>
        <v>17.83093635250918</v>
      </c>
      <c r="Q259" s="43" t="s">
        <v>384</v>
      </c>
    </row>
    <row r="260" spans="1:17" x14ac:dyDescent="0.25">
      <c r="A260" s="43" t="s">
        <v>563</v>
      </c>
      <c r="B260" s="43" t="s">
        <v>20</v>
      </c>
      <c r="C260" s="43">
        <v>0.11138000000000001</v>
      </c>
      <c r="D260" s="43" t="s">
        <v>534</v>
      </c>
      <c r="E260" s="42" t="s">
        <v>15</v>
      </c>
      <c r="F260" s="42" t="s">
        <v>40</v>
      </c>
      <c r="G260" s="42">
        <v>6.3200000000000006E-2</v>
      </c>
      <c r="H260" s="42" t="s">
        <v>28</v>
      </c>
      <c r="I260" s="42" t="s">
        <v>40</v>
      </c>
      <c r="J260" s="126">
        <v>1.98E-3</v>
      </c>
      <c r="K260" s="42" t="s">
        <v>28</v>
      </c>
      <c r="L260" s="42" t="s">
        <v>40</v>
      </c>
      <c r="M260" s="42"/>
      <c r="N260" s="42" t="s">
        <v>77</v>
      </c>
      <c r="O260" s="40" t="s">
        <v>168</v>
      </c>
      <c r="P260" s="54">
        <f t="shared" si="0"/>
        <v>20.927096426647513</v>
      </c>
      <c r="Q260" s="43" t="s">
        <v>385</v>
      </c>
    </row>
    <row r="261" spans="1:17" x14ac:dyDescent="0.25">
      <c r="A261" s="42" t="s">
        <v>564</v>
      </c>
      <c r="B261" s="42" t="s">
        <v>20</v>
      </c>
      <c r="C261" s="42">
        <v>0.44678000000000001</v>
      </c>
      <c r="D261" s="43" t="s">
        <v>534</v>
      </c>
      <c r="E261" s="42" t="s">
        <v>15</v>
      </c>
      <c r="F261" s="42" t="s">
        <v>40</v>
      </c>
      <c r="G261" s="42">
        <v>4.0000000000000001E-3</v>
      </c>
      <c r="H261" s="42" t="s">
        <v>28</v>
      </c>
      <c r="I261" s="42" t="s">
        <v>40</v>
      </c>
      <c r="J261" s="126">
        <v>2.0067114093959729E-2</v>
      </c>
      <c r="K261" s="42" t="s">
        <v>28</v>
      </c>
      <c r="L261" s="42" t="s">
        <v>40</v>
      </c>
      <c r="M261" s="42"/>
      <c r="N261" s="42" t="s">
        <v>77</v>
      </c>
      <c r="O261" s="40" t="s">
        <v>166</v>
      </c>
      <c r="P261" s="54">
        <f t="shared" si="0"/>
        <v>5.8776131429338818</v>
      </c>
      <c r="Q261" s="43" t="s">
        <v>386</v>
      </c>
    </row>
    <row r="262" spans="1:17" x14ac:dyDescent="0.25">
      <c r="A262" s="42" t="s">
        <v>565</v>
      </c>
      <c r="B262" s="42" t="s">
        <v>20</v>
      </c>
      <c r="C262" s="42">
        <v>0.48563000000000001</v>
      </c>
      <c r="D262" s="43" t="s">
        <v>534</v>
      </c>
      <c r="E262" s="42" t="s">
        <v>15</v>
      </c>
      <c r="F262" s="42" t="s">
        <v>40</v>
      </c>
      <c r="G262" s="42">
        <v>4.0000000000000001E-3</v>
      </c>
      <c r="H262" s="42" t="s">
        <v>28</v>
      </c>
      <c r="I262" s="42" t="s">
        <v>40</v>
      </c>
      <c r="J262" s="126">
        <v>2.0067114093959729E-2</v>
      </c>
      <c r="K262" s="42" t="s">
        <v>28</v>
      </c>
      <c r="L262" s="42" t="s">
        <v>40</v>
      </c>
      <c r="M262" s="42"/>
      <c r="N262" s="42" t="s">
        <v>77</v>
      </c>
      <c r="O262" s="40" t="s">
        <v>166</v>
      </c>
      <c r="P262" s="54">
        <f t="shared" si="0"/>
        <v>5.4074089327265611</v>
      </c>
      <c r="Q262" s="43" t="s">
        <v>387</v>
      </c>
    </row>
    <row r="263" spans="1:17" x14ac:dyDescent="0.25">
      <c r="A263" s="42" t="s">
        <v>566</v>
      </c>
      <c r="B263" s="42" t="s">
        <v>20</v>
      </c>
      <c r="C263" s="42">
        <v>0.52447999999999995</v>
      </c>
      <c r="D263" s="43" t="s">
        <v>534</v>
      </c>
      <c r="E263" s="42" t="s">
        <v>15</v>
      </c>
      <c r="F263" s="42" t="s">
        <v>40</v>
      </c>
      <c r="G263" s="42">
        <v>4.0000000000000001E-3</v>
      </c>
      <c r="H263" s="42" t="s">
        <v>28</v>
      </c>
      <c r="I263" s="42" t="s">
        <v>40</v>
      </c>
      <c r="J263" s="126">
        <v>2.0067114093959729E-2</v>
      </c>
      <c r="K263" s="42" t="s">
        <v>28</v>
      </c>
      <c r="L263" s="42" t="s">
        <v>40</v>
      </c>
      <c r="M263" s="42"/>
      <c r="N263" s="42" t="s">
        <v>77</v>
      </c>
      <c r="O263" s="40" t="s">
        <v>166</v>
      </c>
      <c r="P263" s="54">
        <f t="shared" ref="P263:P283" si="1">VLOOKUP(O263,Ref_EF_ByFuel_UK,3,FALSE)/C263</f>
        <v>5.0068639414277003</v>
      </c>
      <c r="Q263" s="43" t="s">
        <v>388</v>
      </c>
    </row>
    <row r="264" spans="1:17" x14ac:dyDescent="0.25">
      <c r="A264" s="42" t="s">
        <v>567</v>
      </c>
      <c r="B264" s="42" t="s">
        <v>20</v>
      </c>
      <c r="C264" s="42">
        <v>0.48019000000000001</v>
      </c>
      <c r="D264" s="43" t="s">
        <v>534</v>
      </c>
      <c r="E264" s="42" t="s">
        <v>15</v>
      </c>
      <c r="F264" s="42" t="s">
        <v>40</v>
      </c>
      <c r="G264" s="42">
        <v>4.0000000000000001E-3</v>
      </c>
      <c r="H264" s="42" t="s">
        <v>28</v>
      </c>
      <c r="I264" s="42" t="s">
        <v>40</v>
      </c>
      <c r="J264" s="126">
        <v>2.0067114093959729E-2</v>
      </c>
      <c r="K264" s="42" t="s">
        <v>28</v>
      </c>
      <c r="L264" s="42" t="s">
        <v>40</v>
      </c>
      <c r="M264" s="42"/>
      <c r="N264" s="42" t="s">
        <v>77</v>
      </c>
      <c r="O264" s="40" t="s">
        <v>166</v>
      </c>
      <c r="P264" s="54">
        <f t="shared" si="1"/>
        <v>5.4686686519919192</v>
      </c>
      <c r="Q264" s="43" t="s">
        <v>389</v>
      </c>
    </row>
    <row r="265" spans="1:17" x14ac:dyDescent="0.25">
      <c r="A265" s="42" t="s">
        <v>568</v>
      </c>
      <c r="B265" s="42" t="s">
        <v>20</v>
      </c>
      <c r="C265" s="42">
        <v>0.53425999999999996</v>
      </c>
      <c r="D265" s="43" t="s">
        <v>534</v>
      </c>
      <c r="E265" s="42" t="s">
        <v>15</v>
      </c>
      <c r="F265" s="42" t="s">
        <v>40</v>
      </c>
      <c r="G265" s="42">
        <v>4.7999999999999996E-3</v>
      </c>
      <c r="H265" s="42" t="s">
        <v>28</v>
      </c>
      <c r="I265" s="42" t="s">
        <v>40</v>
      </c>
      <c r="J265" s="126">
        <v>2.4463087248322146E-2</v>
      </c>
      <c r="K265" s="42" t="s">
        <v>28</v>
      </c>
      <c r="L265" s="42" t="s">
        <v>40</v>
      </c>
      <c r="M265" s="42"/>
      <c r="N265" s="42" t="s">
        <v>77</v>
      </c>
      <c r="O265" s="40" t="s">
        <v>166</v>
      </c>
      <c r="P265" s="54">
        <f t="shared" si="1"/>
        <v>4.9152098229326544</v>
      </c>
      <c r="Q265" s="43" t="s">
        <v>390</v>
      </c>
    </row>
    <row r="266" spans="1:17" x14ac:dyDescent="0.25">
      <c r="A266" s="42" t="s">
        <v>569</v>
      </c>
      <c r="B266" s="42" t="s">
        <v>20</v>
      </c>
      <c r="C266" s="42">
        <v>0.61058000000000001</v>
      </c>
      <c r="D266" s="43" t="s">
        <v>534</v>
      </c>
      <c r="E266" s="42" t="s">
        <v>15</v>
      </c>
      <c r="F266" s="42" t="s">
        <v>40</v>
      </c>
      <c r="G266" s="42">
        <v>4.7999999999999996E-3</v>
      </c>
      <c r="H266" s="42" t="s">
        <v>28</v>
      </c>
      <c r="I266" s="42" t="s">
        <v>40</v>
      </c>
      <c r="J266" s="126">
        <v>2.4463087248322146E-2</v>
      </c>
      <c r="K266" s="42" t="s">
        <v>28</v>
      </c>
      <c r="L266" s="42" t="s">
        <v>40</v>
      </c>
      <c r="M266" s="42"/>
      <c r="N266" s="42" t="s">
        <v>77</v>
      </c>
      <c r="O266" s="40" t="s">
        <v>166</v>
      </c>
      <c r="P266" s="54">
        <f t="shared" si="1"/>
        <v>4.3008287202332207</v>
      </c>
      <c r="Q266" s="43" t="s">
        <v>391</v>
      </c>
    </row>
    <row r="267" spans="1:17" x14ac:dyDescent="0.25">
      <c r="A267" s="42" t="s">
        <v>570</v>
      </c>
      <c r="B267" s="42" t="s">
        <v>20</v>
      </c>
      <c r="C267" s="42">
        <v>0.68689999999999996</v>
      </c>
      <c r="D267" s="43" t="s">
        <v>534</v>
      </c>
      <c r="E267" s="42" t="s">
        <v>15</v>
      </c>
      <c r="F267" s="42" t="s">
        <v>40</v>
      </c>
      <c r="G267" s="42">
        <v>4.7999999999999996E-3</v>
      </c>
      <c r="H267" s="42" t="s">
        <v>28</v>
      </c>
      <c r="I267" s="42" t="s">
        <v>40</v>
      </c>
      <c r="J267" s="126">
        <v>2.4463087248322146E-2</v>
      </c>
      <c r="K267" s="42" t="s">
        <v>28</v>
      </c>
      <c r="L267" s="42" t="s">
        <v>40</v>
      </c>
      <c r="M267" s="42"/>
      <c r="N267" s="42" t="s">
        <v>77</v>
      </c>
      <c r="O267" s="40" t="s">
        <v>166</v>
      </c>
      <c r="P267" s="54">
        <f t="shared" si="1"/>
        <v>3.822972776241083</v>
      </c>
      <c r="Q267" s="43" t="s">
        <v>392</v>
      </c>
    </row>
    <row r="268" spans="1:17" x14ac:dyDescent="0.25">
      <c r="A268" s="42" t="s">
        <v>571</v>
      </c>
      <c r="B268" s="42" t="s">
        <v>20</v>
      </c>
      <c r="C268" s="42">
        <v>0.58614999999999995</v>
      </c>
      <c r="D268" s="43" t="s">
        <v>534</v>
      </c>
      <c r="E268" s="42" t="s">
        <v>15</v>
      </c>
      <c r="F268" s="42" t="s">
        <v>40</v>
      </c>
      <c r="G268" s="42">
        <v>4.7999999999999996E-3</v>
      </c>
      <c r="H268" s="42" t="s">
        <v>28</v>
      </c>
      <c r="I268" s="42" t="s">
        <v>40</v>
      </c>
      <c r="J268" s="126">
        <v>2.4463087248322146E-2</v>
      </c>
      <c r="K268" s="42" t="s">
        <v>28</v>
      </c>
      <c r="L268" s="42" t="s">
        <v>40</v>
      </c>
      <c r="M268" s="42"/>
      <c r="N268" s="42" t="s">
        <v>77</v>
      </c>
      <c r="O268" s="40" t="s">
        <v>166</v>
      </c>
      <c r="P268" s="54">
        <f t="shared" si="1"/>
        <v>4.4800818903011175</v>
      </c>
      <c r="Q268" s="43" t="s">
        <v>393</v>
      </c>
    </row>
    <row r="269" spans="1:17" x14ac:dyDescent="0.25">
      <c r="A269" s="42" t="s">
        <v>572</v>
      </c>
      <c r="B269" s="42" t="s">
        <v>20</v>
      </c>
      <c r="C269" s="42">
        <v>0.73597999999999997</v>
      </c>
      <c r="D269" s="43" t="s">
        <v>534</v>
      </c>
      <c r="E269" s="42" t="s">
        <v>15</v>
      </c>
      <c r="F269" s="42" t="s">
        <v>40</v>
      </c>
      <c r="G269" s="42">
        <v>8.0000000000000019E-3</v>
      </c>
      <c r="H269" s="42" t="s">
        <v>28</v>
      </c>
      <c r="I269" s="42" t="s">
        <v>40</v>
      </c>
      <c r="J269" s="126">
        <v>3.9966442953020133E-2</v>
      </c>
      <c r="K269" s="42" t="s">
        <v>28</v>
      </c>
      <c r="L269" s="42" t="s">
        <v>40</v>
      </c>
      <c r="M269" s="42"/>
      <c r="N269" s="42" t="s">
        <v>77</v>
      </c>
      <c r="O269" s="40" t="s">
        <v>166</v>
      </c>
      <c r="P269" s="54">
        <f t="shared" si="1"/>
        <v>3.5680317399929344</v>
      </c>
      <c r="Q269" s="43" t="s">
        <v>394</v>
      </c>
    </row>
    <row r="270" spans="1:17" x14ac:dyDescent="0.25">
      <c r="A270" s="42" t="s">
        <v>573</v>
      </c>
      <c r="B270" s="42" t="s">
        <v>20</v>
      </c>
      <c r="C270" s="42">
        <v>0.89754</v>
      </c>
      <c r="D270" s="43" t="s">
        <v>534</v>
      </c>
      <c r="E270" s="42" t="s">
        <v>15</v>
      </c>
      <c r="F270" s="42" t="s">
        <v>40</v>
      </c>
      <c r="G270" s="42">
        <v>8.0000000000000019E-3</v>
      </c>
      <c r="H270" s="42" t="s">
        <v>28</v>
      </c>
      <c r="I270" s="42" t="s">
        <v>40</v>
      </c>
      <c r="J270" s="126">
        <v>3.9966442953020133E-2</v>
      </c>
      <c r="K270" s="42" t="s">
        <v>28</v>
      </c>
      <c r="L270" s="42" t="s">
        <v>40</v>
      </c>
      <c r="M270" s="42"/>
      <c r="N270" s="42" t="s">
        <v>77</v>
      </c>
      <c r="O270" s="40" t="s">
        <v>166</v>
      </c>
      <c r="P270" s="54">
        <f t="shared" si="1"/>
        <v>2.9257748958263696</v>
      </c>
      <c r="Q270" s="43" t="s">
        <v>395</v>
      </c>
    </row>
    <row r="271" spans="1:17" x14ac:dyDescent="0.25">
      <c r="A271" s="42" t="s">
        <v>574</v>
      </c>
      <c r="B271" s="42" t="s">
        <v>20</v>
      </c>
      <c r="C271" s="42">
        <v>1.0590900000000001</v>
      </c>
      <c r="D271" s="43" t="s">
        <v>534</v>
      </c>
      <c r="E271" s="42" t="s">
        <v>15</v>
      </c>
      <c r="F271" s="42" t="s">
        <v>40</v>
      </c>
      <c r="G271" s="42">
        <v>8.0000000000000019E-3</v>
      </c>
      <c r="H271" s="42" t="s">
        <v>28</v>
      </c>
      <c r="I271" s="42" t="s">
        <v>40</v>
      </c>
      <c r="J271" s="126">
        <v>3.9966442953020133E-2</v>
      </c>
      <c r="K271" s="42" t="s">
        <v>28</v>
      </c>
      <c r="L271" s="42" t="s">
        <v>40</v>
      </c>
      <c r="M271" s="42"/>
      <c r="N271" s="42" t="s">
        <v>77</v>
      </c>
      <c r="O271" s="40" t="s">
        <v>166</v>
      </c>
      <c r="P271" s="54">
        <f t="shared" si="1"/>
        <v>2.4794871068558852</v>
      </c>
      <c r="Q271" s="43" t="s">
        <v>396</v>
      </c>
    </row>
    <row r="272" spans="1:17" x14ac:dyDescent="0.25">
      <c r="A272" s="42" t="s">
        <v>575</v>
      </c>
      <c r="B272" s="42" t="s">
        <v>20</v>
      </c>
      <c r="C272" s="42">
        <v>0.96353999999999995</v>
      </c>
      <c r="D272" s="43" t="s">
        <v>534</v>
      </c>
      <c r="E272" s="42" t="s">
        <v>15</v>
      </c>
      <c r="F272" s="42" t="s">
        <v>40</v>
      </c>
      <c r="G272" s="42">
        <v>8.0000000000000019E-3</v>
      </c>
      <c r="H272" s="42" t="s">
        <v>28</v>
      </c>
      <c r="I272" s="42" t="s">
        <v>40</v>
      </c>
      <c r="J272" s="126">
        <v>3.9966442953020133E-2</v>
      </c>
      <c r="K272" s="42" t="s">
        <v>28</v>
      </c>
      <c r="L272" s="42" t="s">
        <v>40</v>
      </c>
      <c r="M272" s="42"/>
      <c r="N272" s="42" t="s">
        <v>77</v>
      </c>
      <c r="O272" s="40" t="s">
        <v>166</v>
      </c>
      <c r="P272" s="54">
        <f t="shared" si="1"/>
        <v>2.7253668763102725</v>
      </c>
      <c r="Q272" s="43" t="s">
        <v>397</v>
      </c>
    </row>
    <row r="273" spans="1:17" x14ac:dyDescent="0.25">
      <c r="A273" s="42" t="s">
        <v>576</v>
      </c>
      <c r="B273" s="42" t="s">
        <v>20</v>
      </c>
      <c r="C273" s="42">
        <v>0.81406000000000001</v>
      </c>
      <c r="D273" s="43" t="s">
        <v>534</v>
      </c>
      <c r="E273" s="42" t="s">
        <v>15</v>
      </c>
      <c r="F273" s="42" t="s">
        <v>40</v>
      </c>
      <c r="G273" s="42">
        <v>6.8000000000000014E-3</v>
      </c>
      <c r="H273" s="42" t="s">
        <v>28</v>
      </c>
      <c r="I273" s="42" t="s">
        <v>40</v>
      </c>
      <c r="J273" s="126">
        <v>3.3523489932885904E-2</v>
      </c>
      <c r="K273" s="42" t="s">
        <v>28</v>
      </c>
      <c r="L273" s="42" t="s">
        <v>40</v>
      </c>
      <c r="M273" s="42"/>
      <c r="N273" s="42" t="s">
        <v>77</v>
      </c>
      <c r="O273" s="40" t="s">
        <v>166</v>
      </c>
      <c r="P273" s="54">
        <f t="shared" si="1"/>
        <v>3.225806451612903</v>
      </c>
      <c r="Q273" s="43" t="s">
        <v>398</v>
      </c>
    </row>
    <row r="274" spans="1:17" x14ac:dyDescent="0.25">
      <c r="A274" s="42" t="s">
        <v>577</v>
      </c>
      <c r="B274" s="42" t="s">
        <v>20</v>
      </c>
      <c r="C274" s="42">
        <v>0.60341</v>
      </c>
      <c r="D274" s="43" t="s">
        <v>534</v>
      </c>
      <c r="E274" s="42" t="s">
        <v>15</v>
      </c>
      <c r="F274" s="42" t="s">
        <v>40</v>
      </c>
      <c r="G274" s="42">
        <v>4.4000000000000003E-3</v>
      </c>
      <c r="H274" s="42" t="s">
        <v>28</v>
      </c>
      <c r="I274" s="42" t="s">
        <v>40</v>
      </c>
      <c r="J274" s="126">
        <v>4.560402684563758E-2</v>
      </c>
      <c r="K274" s="42" t="s">
        <v>28</v>
      </c>
      <c r="L274" s="42" t="s">
        <v>40</v>
      </c>
      <c r="M274" s="42"/>
      <c r="N274" s="42" t="s">
        <v>77</v>
      </c>
      <c r="O274" s="40" t="s">
        <v>166</v>
      </c>
      <c r="P274" s="54">
        <f t="shared" si="1"/>
        <v>4.3519331797616871</v>
      </c>
      <c r="Q274" s="43" t="s">
        <v>399</v>
      </c>
    </row>
    <row r="275" spans="1:17" x14ac:dyDescent="0.25">
      <c r="A275" s="42" t="s">
        <v>578</v>
      </c>
      <c r="B275" s="42" t="s">
        <v>20</v>
      </c>
      <c r="C275" s="42">
        <v>0.75426000000000004</v>
      </c>
      <c r="D275" s="43" t="s">
        <v>534</v>
      </c>
      <c r="E275" s="42" t="s">
        <v>15</v>
      </c>
      <c r="F275" s="42" t="s">
        <v>40</v>
      </c>
      <c r="G275" s="42">
        <v>4.4000000000000003E-3</v>
      </c>
      <c r="H275" s="42" t="s">
        <v>28</v>
      </c>
      <c r="I275" s="42" t="s">
        <v>40</v>
      </c>
      <c r="J275" s="126">
        <v>4.560402684563758E-2</v>
      </c>
      <c r="K275" s="42" t="s">
        <v>28</v>
      </c>
      <c r="L275" s="42" t="s">
        <v>40</v>
      </c>
      <c r="M275" s="42"/>
      <c r="N275" s="42" t="s">
        <v>77</v>
      </c>
      <c r="O275" s="40" t="s">
        <v>166</v>
      </c>
      <c r="P275" s="54">
        <f t="shared" si="1"/>
        <v>3.4815580834195101</v>
      </c>
      <c r="Q275" s="43" t="s">
        <v>400</v>
      </c>
    </row>
    <row r="276" spans="1:17" x14ac:dyDescent="0.25">
      <c r="A276" s="42" t="s">
        <v>579</v>
      </c>
      <c r="B276" s="42" t="s">
        <v>20</v>
      </c>
      <c r="C276" s="42">
        <v>0.90512000000000004</v>
      </c>
      <c r="D276" s="43" t="s">
        <v>534</v>
      </c>
      <c r="E276" s="42" t="s">
        <v>15</v>
      </c>
      <c r="F276" s="42" t="s">
        <v>40</v>
      </c>
      <c r="G276" s="42">
        <v>4.4000000000000003E-3</v>
      </c>
      <c r="H276" s="42" t="s">
        <v>28</v>
      </c>
      <c r="I276" s="42" t="s">
        <v>40</v>
      </c>
      <c r="J276" s="126">
        <v>4.560402684563758E-2</v>
      </c>
      <c r="K276" s="42" t="s">
        <v>28</v>
      </c>
      <c r="L276" s="42" t="s">
        <v>40</v>
      </c>
      <c r="M276" s="42"/>
      <c r="N276" s="42" t="s">
        <v>77</v>
      </c>
      <c r="O276" s="40" t="s">
        <v>166</v>
      </c>
      <c r="P276" s="54">
        <f t="shared" si="1"/>
        <v>2.9012727594131165</v>
      </c>
      <c r="Q276" s="43" t="s">
        <v>401</v>
      </c>
    </row>
    <row r="277" spans="1:17" x14ac:dyDescent="0.25">
      <c r="A277" s="42" t="s">
        <v>580</v>
      </c>
      <c r="B277" s="42" t="s">
        <v>20</v>
      </c>
      <c r="C277" s="42">
        <v>0.75426000000000004</v>
      </c>
      <c r="D277" s="43" t="s">
        <v>534</v>
      </c>
      <c r="E277" s="42" t="s">
        <v>15</v>
      </c>
      <c r="F277" s="42" t="s">
        <v>40</v>
      </c>
      <c r="G277" s="42">
        <v>4.4000000000000003E-3</v>
      </c>
      <c r="H277" s="42" t="s">
        <v>28</v>
      </c>
      <c r="I277" s="42" t="s">
        <v>40</v>
      </c>
      <c r="J277" s="126">
        <v>4.560402684563758E-2</v>
      </c>
      <c r="K277" s="42" t="s">
        <v>28</v>
      </c>
      <c r="L277" s="42" t="s">
        <v>40</v>
      </c>
      <c r="M277" s="42"/>
      <c r="N277" s="42" t="s">
        <v>77</v>
      </c>
      <c r="O277" s="40" t="s">
        <v>166</v>
      </c>
      <c r="P277" s="54">
        <f t="shared" si="1"/>
        <v>3.4815580834195101</v>
      </c>
      <c r="Q277" s="43" t="s">
        <v>402</v>
      </c>
    </row>
    <row r="278" spans="1:17" x14ac:dyDescent="0.25">
      <c r="A278" s="42" t="s">
        <v>581</v>
      </c>
      <c r="B278" s="42" t="s">
        <v>20</v>
      </c>
      <c r="C278" s="42">
        <v>0.61797999999999997</v>
      </c>
      <c r="D278" s="43" t="s">
        <v>534</v>
      </c>
      <c r="E278" s="42" t="s">
        <v>15</v>
      </c>
      <c r="F278" s="42" t="s">
        <v>40</v>
      </c>
      <c r="G278" s="42">
        <v>5.1999999999999998E-3</v>
      </c>
      <c r="H278" s="42" t="s">
        <v>28</v>
      </c>
      <c r="I278" s="42" t="s">
        <v>40</v>
      </c>
      <c r="J278" s="126">
        <v>5.4261744966442954E-2</v>
      </c>
      <c r="K278" s="42" t="s">
        <v>28</v>
      </c>
      <c r="L278" s="42" t="s">
        <v>40</v>
      </c>
      <c r="M278" s="42"/>
      <c r="N278" s="42" t="s">
        <v>77</v>
      </c>
      <c r="O278" s="40" t="s">
        <v>166</v>
      </c>
      <c r="P278" s="54">
        <f t="shared" si="1"/>
        <v>4.2493284572316252</v>
      </c>
      <c r="Q278" s="43" t="s">
        <v>403</v>
      </c>
    </row>
    <row r="279" spans="1:17" x14ac:dyDescent="0.25">
      <c r="A279" s="42" t="s">
        <v>582</v>
      </c>
      <c r="B279" s="42" t="s">
        <v>20</v>
      </c>
      <c r="C279" s="42">
        <v>0.82396999999999998</v>
      </c>
      <c r="D279" s="43" t="s">
        <v>534</v>
      </c>
      <c r="E279" s="42" t="s">
        <v>15</v>
      </c>
      <c r="F279" s="42" t="s">
        <v>40</v>
      </c>
      <c r="G279" s="42">
        <v>5.1999999999999998E-3</v>
      </c>
      <c r="H279" s="42" t="s">
        <v>28</v>
      </c>
      <c r="I279" s="42" t="s">
        <v>40</v>
      </c>
      <c r="J279" s="126">
        <v>5.4261744966442954E-2</v>
      </c>
      <c r="K279" s="42" t="s">
        <v>28</v>
      </c>
      <c r="L279" s="42" t="s">
        <v>40</v>
      </c>
      <c r="M279" s="42"/>
      <c r="N279" s="42" t="s">
        <v>77</v>
      </c>
      <c r="O279" s="40" t="s">
        <v>166</v>
      </c>
      <c r="P279" s="54">
        <f t="shared" si="1"/>
        <v>3.187009235773147</v>
      </c>
      <c r="Q279" s="43" t="s">
        <v>404</v>
      </c>
    </row>
    <row r="280" spans="1:17" x14ac:dyDescent="0.25">
      <c r="A280" s="42" t="s">
        <v>583</v>
      </c>
      <c r="B280" s="42" t="s">
        <v>20</v>
      </c>
      <c r="C280" s="42">
        <v>1.02996</v>
      </c>
      <c r="D280" s="43" t="s">
        <v>534</v>
      </c>
      <c r="E280" s="42" t="s">
        <v>15</v>
      </c>
      <c r="F280" s="42" t="s">
        <v>40</v>
      </c>
      <c r="G280" s="42">
        <v>5.1999999999999998E-3</v>
      </c>
      <c r="H280" s="42" t="s">
        <v>28</v>
      </c>
      <c r="I280" s="42" t="s">
        <v>40</v>
      </c>
      <c r="J280" s="126">
        <v>5.4261744966442954E-2</v>
      </c>
      <c r="K280" s="42" t="s">
        <v>28</v>
      </c>
      <c r="L280" s="42" t="s">
        <v>40</v>
      </c>
      <c r="M280" s="42"/>
      <c r="N280" s="42" t="s">
        <v>77</v>
      </c>
      <c r="O280" s="40" t="s">
        <v>166</v>
      </c>
      <c r="P280" s="54">
        <f t="shared" si="1"/>
        <v>2.5496135772263</v>
      </c>
      <c r="Q280" s="43" t="s">
        <v>405</v>
      </c>
    </row>
    <row r="281" spans="1:17" x14ac:dyDescent="0.25">
      <c r="A281" s="42" t="s">
        <v>584</v>
      </c>
      <c r="B281" s="42" t="s">
        <v>20</v>
      </c>
      <c r="C281" s="42">
        <v>0.89812999999999998</v>
      </c>
      <c r="D281" s="43" t="s">
        <v>534</v>
      </c>
      <c r="E281" s="42" t="s">
        <v>15</v>
      </c>
      <c r="F281" s="42" t="s">
        <v>40</v>
      </c>
      <c r="G281" s="42">
        <v>5.1999999999999998E-3</v>
      </c>
      <c r="H281" s="42" t="s">
        <v>28</v>
      </c>
      <c r="I281" s="42" t="s">
        <v>40</v>
      </c>
      <c r="J281" s="126">
        <v>5.4261744966442954E-2</v>
      </c>
      <c r="K281" s="42" t="s">
        <v>28</v>
      </c>
      <c r="L281" s="42" t="s">
        <v>40</v>
      </c>
      <c r="M281" s="42"/>
      <c r="N281" s="42" t="s">
        <v>77</v>
      </c>
      <c r="O281" s="40" t="s">
        <v>166</v>
      </c>
      <c r="P281" s="54">
        <f t="shared" si="1"/>
        <v>2.9238528943471436</v>
      </c>
      <c r="Q281" s="43" t="s">
        <v>406</v>
      </c>
    </row>
    <row r="282" spans="1:17" x14ac:dyDescent="0.25">
      <c r="A282" s="42" t="s">
        <v>585</v>
      </c>
      <c r="B282" s="42" t="s">
        <v>20</v>
      </c>
      <c r="C282" s="42">
        <v>0.89200999999999997</v>
      </c>
      <c r="D282" s="43" t="s">
        <v>534</v>
      </c>
      <c r="E282" s="42" t="s">
        <v>15</v>
      </c>
      <c r="F282" s="42" t="s">
        <v>40</v>
      </c>
      <c r="G282" s="42">
        <v>5.1999999999999998E-3</v>
      </c>
      <c r="H282" s="42" t="s">
        <v>28</v>
      </c>
      <c r="I282" s="42" t="s">
        <v>40</v>
      </c>
      <c r="J282" s="126">
        <v>5.3892617449664434E-2</v>
      </c>
      <c r="K282" s="42" t="s">
        <v>28</v>
      </c>
      <c r="L282" s="42" t="s">
        <v>40</v>
      </c>
      <c r="M282" s="42"/>
      <c r="N282" s="42" t="s">
        <v>77</v>
      </c>
      <c r="O282" s="40" t="s">
        <v>166</v>
      </c>
      <c r="P282" s="54">
        <f t="shared" si="1"/>
        <v>2.9439131848297664</v>
      </c>
      <c r="Q282" s="43" t="s">
        <v>407</v>
      </c>
    </row>
    <row r="283" spans="1:17" x14ac:dyDescent="0.25">
      <c r="A283" s="42" t="s">
        <v>586</v>
      </c>
      <c r="B283" s="42" t="s">
        <v>20</v>
      </c>
      <c r="C283" s="42">
        <v>0.85994000000000004</v>
      </c>
      <c r="D283" s="43" t="s">
        <v>534</v>
      </c>
      <c r="E283" s="42" t="s">
        <v>15</v>
      </c>
      <c r="F283" s="42" t="s">
        <v>40</v>
      </c>
      <c r="G283" s="42">
        <v>5.5999999999999999E-3</v>
      </c>
      <c r="H283" s="42" t="s">
        <v>28</v>
      </c>
      <c r="I283" s="42" t="s">
        <v>40</v>
      </c>
      <c r="J283" s="126">
        <v>4.5100671140939602E-2</v>
      </c>
      <c r="K283" s="42" t="s">
        <v>28</v>
      </c>
      <c r="L283" s="42" t="s">
        <v>40</v>
      </c>
      <c r="M283" s="42"/>
      <c r="N283" s="42" t="s">
        <v>77</v>
      </c>
      <c r="O283" s="40" t="s">
        <v>166</v>
      </c>
      <c r="P283" s="54">
        <f t="shared" si="1"/>
        <v>3.0537014210293738</v>
      </c>
      <c r="Q283" s="43" t="s">
        <v>408</v>
      </c>
    </row>
  </sheetData>
  <phoneticPr fontId="1" type="noConversion"/>
  <pageMargins left="0.7" right="0.7" top="0.75" bottom="0.75" header="0.3" footer="0.3"/>
  <pageSetup orientation="portrait" verticalDpi="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theme="5" tint="0.79998168889431442"/>
  </sheetPr>
  <dimension ref="A1:J123"/>
  <sheetViews>
    <sheetView workbookViewId="0"/>
  </sheetViews>
  <sheetFormatPr defaultRowHeight="13.2" x14ac:dyDescent="0.25"/>
  <cols>
    <col min="1" max="1" width="51.5546875" customWidth="1"/>
    <col min="2" max="2" width="7.88671875" bestFit="1" customWidth="1"/>
    <col min="3" max="3" width="9" customWidth="1"/>
    <col min="4" max="4" width="19.109375" bestFit="1" customWidth="1"/>
    <col min="5" max="5" width="20.6640625" bestFit="1" customWidth="1"/>
    <col min="6" max="6" width="23" bestFit="1" customWidth="1"/>
    <col min="7" max="7" width="14" bestFit="1" customWidth="1"/>
    <col min="8" max="8" width="47.44140625" customWidth="1"/>
    <col min="9" max="9" width="23.5546875" customWidth="1"/>
    <col min="10" max="10" width="23" bestFit="1" customWidth="1"/>
  </cols>
  <sheetData>
    <row r="1" spans="1:9" x14ac:dyDescent="0.25">
      <c r="A1" s="2" t="s">
        <v>41</v>
      </c>
      <c r="B1" s="3"/>
      <c r="C1" s="3"/>
      <c r="D1" s="3"/>
      <c r="E1" s="3"/>
      <c r="F1" s="3"/>
      <c r="G1" s="3"/>
      <c r="H1" s="3"/>
      <c r="I1" s="3"/>
    </row>
    <row r="2" spans="1:9" x14ac:dyDescent="0.25">
      <c r="A2" s="4"/>
    </row>
    <row r="3" spans="1:9" x14ac:dyDescent="0.25">
      <c r="A3" s="41" t="s">
        <v>42</v>
      </c>
      <c r="B3" s="41" t="s">
        <v>7</v>
      </c>
      <c r="C3" s="41" t="s">
        <v>1</v>
      </c>
      <c r="D3" s="41" t="s">
        <v>8</v>
      </c>
      <c r="E3" s="41" t="s">
        <v>9</v>
      </c>
      <c r="F3" s="41" t="s">
        <v>10</v>
      </c>
      <c r="G3" s="41" t="s">
        <v>11</v>
      </c>
      <c r="H3" s="41" t="s">
        <v>43</v>
      </c>
      <c r="I3" s="41" t="s">
        <v>13</v>
      </c>
    </row>
    <row r="4" spans="1:9" x14ac:dyDescent="0.25">
      <c r="A4" s="42" t="s">
        <v>412</v>
      </c>
      <c r="B4" s="42" t="s">
        <v>20</v>
      </c>
      <c r="C4" s="42">
        <v>2.35236</v>
      </c>
      <c r="D4" s="43" t="s">
        <v>534</v>
      </c>
      <c r="E4" s="42" t="s">
        <v>15</v>
      </c>
      <c r="F4" s="42" t="s">
        <v>45</v>
      </c>
      <c r="G4" s="42"/>
      <c r="H4" s="42" t="s">
        <v>412</v>
      </c>
      <c r="I4" s="42" t="s">
        <v>6</v>
      </c>
    </row>
    <row r="5" spans="1:9" x14ac:dyDescent="0.25">
      <c r="A5" s="42" t="s">
        <v>413</v>
      </c>
      <c r="B5" s="42" t="s">
        <v>20</v>
      </c>
      <c r="C5" s="42">
        <v>1.2056800000000001</v>
      </c>
      <c r="D5" s="43" t="s">
        <v>534</v>
      </c>
      <c r="E5" s="42" t="s">
        <v>15</v>
      </c>
      <c r="F5" s="42" t="s">
        <v>45</v>
      </c>
      <c r="G5" s="42"/>
      <c r="H5" s="42" t="s">
        <v>413</v>
      </c>
      <c r="I5" s="42" t="s">
        <v>6</v>
      </c>
    </row>
    <row r="6" spans="1:9" x14ac:dyDescent="0.25">
      <c r="A6" s="42" t="s">
        <v>414</v>
      </c>
      <c r="B6" s="42" t="s">
        <v>20</v>
      </c>
      <c r="C6" s="42">
        <v>0.53358000000000005</v>
      </c>
      <c r="D6" s="43"/>
      <c r="E6" s="42" t="s">
        <v>15</v>
      </c>
      <c r="F6" s="42" t="s">
        <v>45</v>
      </c>
      <c r="G6" s="42"/>
      <c r="H6" s="42" t="s">
        <v>414</v>
      </c>
      <c r="I6" s="42" t="s">
        <v>6</v>
      </c>
    </row>
    <row r="7" spans="1:9" x14ac:dyDescent="0.25">
      <c r="A7" s="42" t="s">
        <v>415</v>
      </c>
      <c r="B7" s="42" t="s">
        <v>20</v>
      </c>
      <c r="C7" s="42">
        <v>0.53358000000000005</v>
      </c>
      <c r="D7" s="43"/>
      <c r="E7" s="42" t="s">
        <v>15</v>
      </c>
      <c r="F7" s="42" t="s">
        <v>45</v>
      </c>
      <c r="G7" s="42"/>
      <c r="H7" s="42" t="s">
        <v>415</v>
      </c>
      <c r="I7" s="42" t="s">
        <v>6</v>
      </c>
    </row>
    <row r="8" spans="1:9" x14ac:dyDescent="0.25">
      <c r="A8" s="42" t="s">
        <v>416</v>
      </c>
      <c r="B8" s="42" t="s">
        <v>20</v>
      </c>
      <c r="C8" s="42">
        <v>2.7490000000000001E-2</v>
      </c>
      <c r="D8" s="43"/>
      <c r="E8" s="42" t="s">
        <v>15</v>
      </c>
      <c r="F8" s="42" t="s">
        <v>45</v>
      </c>
      <c r="G8" s="42"/>
      <c r="H8" s="42" t="s">
        <v>416</v>
      </c>
      <c r="I8" s="42" t="s">
        <v>5</v>
      </c>
    </row>
    <row r="9" spans="1:9" x14ac:dyDescent="0.25">
      <c r="A9" s="42" t="s">
        <v>417</v>
      </c>
      <c r="B9" s="42" t="s">
        <v>20</v>
      </c>
      <c r="C9" s="42">
        <v>1.0550200000000001</v>
      </c>
      <c r="D9" s="127"/>
      <c r="E9" s="42" t="s">
        <v>15</v>
      </c>
      <c r="F9" s="42" t="s">
        <v>45</v>
      </c>
      <c r="G9" s="42"/>
      <c r="H9" s="42" t="s">
        <v>417</v>
      </c>
      <c r="I9" s="42" t="s">
        <v>77</v>
      </c>
    </row>
    <row r="10" spans="1:9" x14ac:dyDescent="0.25">
      <c r="A10" s="42" t="s">
        <v>418</v>
      </c>
      <c r="B10" s="42" t="s">
        <v>20</v>
      </c>
      <c r="C10" s="42">
        <v>0.72985</v>
      </c>
      <c r="D10" s="127"/>
      <c r="E10" s="42" t="s">
        <v>15</v>
      </c>
      <c r="F10" s="42" t="s">
        <v>45</v>
      </c>
      <c r="G10" s="42"/>
      <c r="H10" s="42" t="s">
        <v>418</v>
      </c>
      <c r="I10" s="42" t="s">
        <v>77</v>
      </c>
    </row>
    <row r="11" spans="1:9" x14ac:dyDescent="0.25">
      <c r="A11" s="42" t="s">
        <v>419</v>
      </c>
      <c r="B11" s="42" t="s">
        <v>20</v>
      </c>
      <c r="C11" s="42">
        <v>0.77488999999999997</v>
      </c>
      <c r="D11" s="127"/>
      <c r="E11" s="42" t="s">
        <v>15</v>
      </c>
      <c r="F11" s="42" t="s">
        <v>45</v>
      </c>
      <c r="G11" s="42"/>
      <c r="H11" s="42" t="s">
        <v>419</v>
      </c>
      <c r="I11" s="42" t="s">
        <v>77</v>
      </c>
    </row>
    <row r="12" spans="1:9" x14ac:dyDescent="0.25">
      <c r="A12" s="42" t="s">
        <v>420</v>
      </c>
      <c r="B12" s="42" t="s">
        <v>20</v>
      </c>
      <c r="C12" s="42">
        <v>0.71723999999999999</v>
      </c>
      <c r="D12" s="127"/>
      <c r="E12" s="42" t="s">
        <v>15</v>
      </c>
      <c r="F12" s="42" t="s">
        <v>45</v>
      </c>
      <c r="G12" s="42"/>
      <c r="H12" s="42" t="s">
        <v>420</v>
      </c>
      <c r="I12" s="42" t="s">
        <v>77</v>
      </c>
    </row>
    <row r="13" spans="1:9" x14ac:dyDescent="0.25">
      <c r="A13" s="42" t="s">
        <v>421</v>
      </c>
      <c r="B13" s="42" t="s">
        <v>20</v>
      </c>
      <c r="C13" s="42">
        <v>0.78093000000000001</v>
      </c>
      <c r="D13" s="127"/>
      <c r="E13" s="42" t="s">
        <v>15</v>
      </c>
      <c r="F13" s="42" t="s">
        <v>45</v>
      </c>
      <c r="G13" s="42"/>
      <c r="H13" s="42" t="s">
        <v>421</v>
      </c>
      <c r="I13" s="42" t="s">
        <v>77</v>
      </c>
    </row>
    <row r="14" spans="1:9" x14ac:dyDescent="0.25">
      <c r="A14" s="42" t="s">
        <v>422</v>
      </c>
      <c r="B14" s="42" t="s">
        <v>20</v>
      </c>
      <c r="C14" s="42">
        <v>0.56216999999999995</v>
      </c>
      <c r="D14" s="127"/>
      <c r="E14" s="42" t="s">
        <v>15</v>
      </c>
      <c r="F14" s="42" t="s">
        <v>45</v>
      </c>
      <c r="G14" s="42"/>
      <c r="H14" s="42" t="s">
        <v>422</v>
      </c>
      <c r="I14" s="42" t="s">
        <v>77</v>
      </c>
    </row>
    <row r="15" spans="1:9" x14ac:dyDescent="0.25">
      <c r="A15" s="42" t="s">
        <v>423</v>
      </c>
      <c r="B15" s="42" t="s">
        <v>20</v>
      </c>
      <c r="C15" s="42">
        <v>0.56388000000000005</v>
      </c>
      <c r="D15" s="127"/>
      <c r="E15" s="42" t="s">
        <v>15</v>
      </c>
      <c r="F15" s="42" t="s">
        <v>45</v>
      </c>
      <c r="G15" s="42"/>
      <c r="H15" s="42" t="s">
        <v>423</v>
      </c>
      <c r="I15" s="42" t="s">
        <v>77</v>
      </c>
    </row>
    <row r="16" spans="1:9" x14ac:dyDescent="0.25">
      <c r="A16" s="42" t="s">
        <v>424</v>
      </c>
      <c r="B16" s="42" t="s">
        <v>20</v>
      </c>
      <c r="C16" s="42">
        <v>0.56645000000000001</v>
      </c>
      <c r="D16" s="127"/>
      <c r="E16" s="42" t="s">
        <v>15</v>
      </c>
      <c r="F16" s="42" t="s">
        <v>45</v>
      </c>
      <c r="G16" s="42"/>
      <c r="H16" s="42" t="s">
        <v>424</v>
      </c>
      <c r="I16" s="42" t="s">
        <v>77</v>
      </c>
    </row>
    <row r="17" spans="1:9" x14ac:dyDescent="0.25">
      <c r="A17" s="42" t="s">
        <v>425</v>
      </c>
      <c r="B17" s="42" t="s">
        <v>20</v>
      </c>
      <c r="C17" s="42">
        <v>0.57059000000000004</v>
      </c>
      <c r="D17" s="127"/>
      <c r="E17" s="42" t="s">
        <v>15</v>
      </c>
      <c r="F17" s="42" t="s">
        <v>45</v>
      </c>
      <c r="G17" s="42"/>
      <c r="H17" s="42" t="s">
        <v>425</v>
      </c>
      <c r="I17" s="42" t="s">
        <v>77</v>
      </c>
    </row>
    <row r="18" spans="1:9" x14ac:dyDescent="0.25">
      <c r="A18" s="42" t="s">
        <v>426</v>
      </c>
      <c r="B18" s="42" t="s">
        <v>20</v>
      </c>
      <c r="C18" s="42">
        <v>0.63065000000000004</v>
      </c>
      <c r="D18" s="127"/>
      <c r="E18" s="42" t="s">
        <v>15</v>
      </c>
      <c r="F18" s="42" t="s">
        <v>45</v>
      </c>
      <c r="G18" s="42"/>
      <c r="H18" s="42" t="s">
        <v>426</v>
      </c>
      <c r="I18" s="42" t="s">
        <v>77</v>
      </c>
    </row>
    <row r="19" spans="1:9" x14ac:dyDescent="0.25">
      <c r="A19" s="42" t="s">
        <v>427</v>
      </c>
      <c r="B19" s="42" t="s">
        <v>20</v>
      </c>
      <c r="C19" s="42">
        <v>0.57106000000000001</v>
      </c>
      <c r="D19" s="127"/>
      <c r="E19" s="42" t="s">
        <v>15</v>
      </c>
      <c r="F19" s="42" t="s">
        <v>45</v>
      </c>
      <c r="G19" s="42"/>
      <c r="H19" s="42" t="s">
        <v>427</v>
      </c>
      <c r="I19" s="42" t="s">
        <v>77</v>
      </c>
    </row>
    <row r="20" spans="1:9" x14ac:dyDescent="0.25">
      <c r="A20" s="42" t="s">
        <v>428</v>
      </c>
      <c r="B20" s="42" t="s">
        <v>20</v>
      </c>
      <c r="C20" s="42">
        <v>0.50678999999999996</v>
      </c>
      <c r="D20" s="127"/>
      <c r="E20" s="42" t="s">
        <v>15</v>
      </c>
      <c r="F20" s="42" t="s">
        <v>45</v>
      </c>
      <c r="G20" s="42"/>
      <c r="H20" s="42" t="s">
        <v>428</v>
      </c>
      <c r="I20" s="42" t="s">
        <v>77</v>
      </c>
    </row>
    <row r="21" spans="1:9" x14ac:dyDescent="0.25">
      <c r="A21" s="42" t="s">
        <v>429</v>
      </c>
      <c r="B21" s="42" t="s">
        <v>20</v>
      </c>
      <c r="C21" s="42">
        <v>0.35028999999999999</v>
      </c>
      <c r="D21" s="127"/>
      <c r="E21" s="42" t="s">
        <v>15</v>
      </c>
      <c r="F21" s="42" t="s">
        <v>45</v>
      </c>
      <c r="G21" s="42"/>
      <c r="H21" s="42" t="s">
        <v>429</v>
      </c>
      <c r="I21" s="42" t="s">
        <v>77</v>
      </c>
    </row>
    <row r="22" spans="1:9" x14ac:dyDescent="0.25">
      <c r="A22" s="42" t="s">
        <v>430</v>
      </c>
      <c r="B22" s="42" t="s">
        <v>20</v>
      </c>
      <c r="C22" s="42">
        <v>0.1517</v>
      </c>
      <c r="D22" s="127"/>
      <c r="E22" s="42" t="s">
        <v>15</v>
      </c>
      <c r="F22" s="42" t="s">
        <v>45</v>
      </c>
      <c r="G22" s="42"/>
      <c r="H22" s="42" t="s">
        <v>430</v>
      </c>
      <c r="I22" s="42" t="s">
        <v>77</v>
      </c>
    </row>
    <row r="23" spans="1:9" x14ac:dyDescent="0.25">
      <c r="A23" s="42" t="s">
        <v>431</v>
      </c>
      <c r="B23" s="42" t="s">
        <v>20</v>
      </c>
      <c r="C23" s="42">
        <v>0.17585000000000001</v>
      </c>
      <c r="D23" s="127"/>
      <c r="E23" s="42" t="s">
        <v>15</v>
      </c>
      <c r="F23" s="42" t="s">
        <v>45</v>
      </c>
      <c r="G23" s="42"/>
      <c r="H23" s="42" t="s">
        <v>431</v>
      </c>
      <c r="I23" s="42" t="s">
        <v>77</v>
      </c>
    </row>
    <row r="24" spans="1:9" x14ac:dyDescent="0.25">
      <c r="A24" s="42" t="s">
        <v>432</v>
      </c>
      <c r="B24" s="42" t="s">
        <v>20</v>
      </c>
      <c r="C24" s="42">
        <v>0.11377</v>
      </c>
      <c r="D24" s="127"/>
      <c r="E24" s="42" t="s">
        <v>15</v>
      </c>
      <c r="F24" s="42" t="s">
        <v>45</v>
      </c>
      <c r="G24" s="42"/>
      <c r="H24" s="42" t="s">
        <v>432</v>
      </c>
      <c r="I24" s="42" t="s">
        <v>77</v>
      </c>
    </row>
    <row r="25" spans="1:9" x14ac:dyDescent="0.25">
      <c r="A25" s="42" t="s">
        <v>433</v>
      </c>
      <c r="B25" s="42" t="s">
        <v>20</v>
      </c>
      <c r="C25" s="42">
        <v>7.2940000000000005E-2</v>
      </c>
      <c r="D25" s="127"/>
      <c r="E25" s="42" t="s">
        <v>15</v>
      </c>
      <c r="F25" s="42" t="s">
        <v>45</v>
      </c>
      <c r="G25" s="42"/>
      <c r="H25" s="42" t="s">
        <v>433</v>
      </c>
      <c r="I25" s="42" t="s">
        <v>77</v>
      </c>
    </row>
    <row r="26" spans="1:9" x14ac:dyDescent="0.25">
      <c r="A26" s="42" t="s">
        <v>434</v>
      </c>
      <c r="B26" s="42" t="s">
        <v>20</v>
      </c>
      <c r="C26" s="42">
        <v>7.3899999999999993E-2</v>
      </c>
      <c r="D26" s="127"/>
      <c r="E26" s="42" t="s">
        <v>15</v>
      </c>
      <c r="F26" s="42" t="s">
        <v>45</v>
      </c>
      <c r="G26" s="42"/>
      <c r="H26" s="42" t="s">
        <v>434</v>
      </c>
      <c r="I26" s="42" t="s">
        <v>77</v>
      </c>
    </row>
    <row r="27" spans="1:9" x14ac:dyDescent="0.25">
      <c r="A27" s="42" t="s">
        <v>435</v>
      </c>
      <c r="B27" s="42" t="s">
        <v>20</v>
      </c>
      <c r="C27" s="42">
        <v>9.5449999999999993E-2</v>
      </c>
      <c r="D27" s="127"/>
      <c r="E27" s="42" t="s">
        <v>15</v>
      </c>
      <c r="F27" s="42" t="s">
        <v>45</v>
      </c>
      <c r="G27" s="42"/>
      <c r="H27" s="42" t="s">
        <v>435</v>
      </c>
      <c r="I27" s="42" t="s">
        <v>77</v>
      </c>
    </row>
    <row r="28" spans="1:9" x14ac:dyDescent="0.25">
      <c r="A28" s="42" t="s">
        <v>436</v>
      </c>
      <c r="B28" s="42" t="s">
        <v>20</v>
      </c>
      <c r="C28" s="42">
        <v>2.8999999999999998E-3</v>
      </c>
      <c r="D28" s="43"/>
      <c r="E28" s="42" t="s">
        <v>15</v>
      </c>
      <c r="F28" s="42" t="s">
        <v>45</v>
      </c>
      <c r="G28" s="42"/>
      <c r="H28" s="42" t="s">
        <v>436</v>
      </c>
      <c r="I28" s="42" t="s">
        <v>78</v>
      </c>
    </row>
    <row r="29" spans="1:9" x14ac:dyDescent="0.25">
      <c r="A29" s="42" t="s">
        <v>437</v>
      </c>
      <c r="B29" s="42" t="s">
        <v>20</v>
      </c>
      <c r="C29" s="42">
        <v>4.4000000000000003E-3</v>
      </c>
      <c r="D29" s="43"/>
      <c r="E29" s="42" t="s">
        <v>15</v>
      </c>
      <c r="F29" s="42" t="s">
        <v>45</v>
      </c>
      <c r="G29" s="42"/>
      <c r="H29" s="42" t="s">
        <v>437</v>
      </c>
      <c r="I29" s="42" t="s">
        <v>78</v>
      </c>
    </row>
    <row r="30" spans="1:9" x14ac:dyDescent="0.25">
      <c r="A30" s="42" t="s">
        <v>438</v>
      </c>
      <c r="B30" s="42" t="s">
        <v>20</v>
      </c>
      <c r="C30" s="42">
        <v>5.9000000000000007E-3</v>
      </c>
      <c r="D30" s="43"/>
      <c r="E30" s="42" t="s">
        <v>15</v>
      </c>
      <c r="F30" s="42" t="s">
        <v>45</v>
      </c>
      <c r="G30" s="42"/>
      <c r="H30" s="42" t="s">
        <v>438</v>
      </c>
      <c r="I30" s="42" t="s">
        <v>78</v>
      </c>
    </row>
    <row r="31" spans="1:9" x14ac:dyDescent="0.25">
      <c r="A31" s="42" t="s">
        <v>439</v>
      </c>
      <c r="B31" s="42" t="s">
        <v>20</v>
      </c>
      <c r="C31" s="42">
        <v>7.4999999999999997E-3</v>
      </c>
      <c r="D31" s="43"/>
      <c r="E31" s="42" t="s">
        <v>15</v>
      </c>
      <c r="F31" s="42" t="s">
        <v>45</v>
      </c>
      <c r="G31" s="42"/>
      <c r="H31" s="42" t="s">
        <v>439</v>
      </c>
      <c r="I31" s="42" t="s">
        <v>78</v>
      </c>
    </row>
    <row r="32" spans="1:9" x14ac:dyDescent="0.25">
      <c r="A32" s="42" t="s">
        <v>440</v>
      </c>
      <c r="B32" s="42" t="s">
        <v>20</v>
      </c>
      <c r="C32" s="42">
        <v>9.1000000000000004E-3</v>
      </c>
      <c r="D32" s="43"/>
      <c r="E32" s="42" t="s">
        <v>15</v>
      </c>
      <c r="F32" s="42" t="s">
        <v>45</v>
      </c>
      <c r="G32" s="42"/>
      <c r="H32" s="42" t="s">
        <v>440</v>
      </c>
      <c r="I32" s="42" t="s">
        <v>78</v>
      </c>
    </row>
    <row r="33" spans="1:9" x14ac:dyDescent="0.25">
      <c r="A33" s="42" t="s">
        <v>441</v>
      </c>
      <c r="B33" s="42" t="s">
        <v>20</v>
      </c>
      <c r="C33" s="42">
        <v>3.3299999999999996E-2</v>
      </c>
      <c r="D33" s="43"/>
      <c r="E33" s="42" t="s">
        <v>15</v>
      </c>
      <c r="F33" s="42" t="s">
        <v>45</v>
      </c>
      <c r="G33" s="42"/>
      <c r="H33" s="42" t="s">
        <v>441</v>
      </c>
      <c r="I33" s="42" t="s">
        <v>78</v>
      </c>
    </row>
    <row r="34" spans="1:9" x14ac:dyDescent="0.25">
      <c r="A34" s="42" t="s">
        <v>442</v>
      </c>
      <c r="B34" s="42" t="s">
        <v>20</v>
      </c>
      <c r="C34" s="42">
        <v>4.5100000000000001E-3</v>
      </c>
      <c r="D34" s="43"/>
      <c r="E34" s="42" t="s">
        <v>15</v>
      </c>
      <c r="F34" s="42" t="s">
        <v>45</v>
      </c>
      <c r="G34" s="42"/>
      <c r="H34" s="42" t="s">
        <v>442</v>
      </c>
      <c r="I34" s="42" t="s">
        <v>78</v>
      </c>
    </row>
    <row r="35" spans="1:9" x14ac:dyDescent="0.25">
      <c r="A35" s="42" t="s">
        <v>443</v>
      </c>
      <c r="B35" s="42" t="s">
        <v>20</v>
      </c>
      <c r="C35" s="42">
        <v>2.5000000000000001E-3</v>
      </c>
      <c r="D35" s="43"/>
      <c r="E35" s="42" t="s">
        <v>15</v>
      </c>
      <c r="F35" s="42" t="s">
        <v>45</v>
      </c>
      <c r="G35" s="42"/>
      <c r="H35" s="42" t="s">
        <v>443</v>
      </c>
      <c r="I35" s="42" t="s">
        <v>78</v>
      </c>
    </row>
    <row r="36" spans="1:9" x14ac:dyDescent="0.25">
      <c r="A36" s="42" t="s">
        <v>444</v>
      </c>
      <c r="B36" s="42" t="s">
        <v>20</v>
      </c>
      <c r="C36" s="42">
        <v>3.0000000000000001E-3</v>
      </c>
      <c r="D36" s="43" t="s">
        <v>534</v>
      </c>
      <c r="E36" s="42" t="s">
        <v>15</v>
      </c>
      <c r="F36" s="42" t="s">
        <v>45</v>
      </c>
      <c r="G36" s="42"/>
      <c r="H36" s="42" t="s">
        <v>444</v>
      </c>
      <c r="I36" s="42" t="s">
        <v>78</v>
      </c>
    </row>
    <row r="37" spans="1:9" x14ac:dyDescent="0.25">
      <c r="A37" s="42" t="s">
        <v>445</v>
      </c>
      <c r="B37" s="42" t="s">
        <v>20</v>
      </c>
      <c r="C37" s="42">
        <v>4.0999999999999995E-3</v>
      </c>
      <c r="D37" s="43" t="s">
        <v>534</v>
      </c>
      <c r="E37" s="42" t="s">
        <v>15</v>
      </c>
      <c r="F37" s="42" t="s">
        <v>45</v>
      </c>
      <c r="G37" s="42"/>
      <c r="H37" s="42" t="s">
        <v>445</v>
      </c>
      <c r="I37" s="42" t="s">
        <v>78</v>
      </c>
    </row>
    <row r="38" spans="1:9" x14ac:dyDescent="0.25">
      <c r="A38" s="42" t="s">
        <v>446</v>
      </c>
      <c r="B38" s="42" t="s">
        <v>20</v>
      </c>
      <c r="C38" s="42">
        <v>5.7000000000000002E-3</v>
      </c>
      <c r="D38" s="43" t="s">
        <v>534</v>
      </c>
      <c r="E38" s="42" t="s">
        <v>15</v>
      </c>
      <c r="F38" s="42" t="s">
        <v>45</v>
      </c>
      <c r="G38" s="42"/>
      <c r="H38" s="42" t="s">
        <v>446</v>
      </c>
      <c r="I38" s="42" t="s">
        <v>78</v>
      </c>
    </row>
    <row r="39" spans="1:9" x14ac:dyDescent="0.25">
      <c r="A39" s="42" t="s">
        <v>447</v>
      </c>
      <c r="B39" s="42" t="s">
        <v>20</v>
      </c>
      <c r="C39" s="42">
        <v>7.9000000000000008E-3</v>
      </c>
      <c r="D39" s="43" t="s">
        <v>534</v>
      </c>
      <c r="E39" s="42" t="s">
        <v>15</v>
      </c>
      <c r="F39" s="42" t="s">
        <v>45</v>
      </c>
      <c r="G39" s="42"/>
      <c r="H39" s="42" t="s">
        <v>447</v>
      </c>
      <c r="I39" s="42" t="s">
        <v>78</v>
      </c>
    </row>
    <row r="40" spans="1:9" x14ac:dyDescent="0.25">
      <c r="A40" s="42" t="s">
        <v>448</v>
      </c>
      <c r="B40" s="42" t="s">
        <v>20</v>
      </c>
      <c r="C40" s="42">
        <v>2.92E-2</v>
      </c>
      <c r="D40" s="43" t="s">
        <v>534</v>
      </c>
      <c r="E40" s="42" t="s">
        <v>15</v>
      </c>
      <c r="F40" s="42" t="s">
        <v>45</v>
      </c>
      <c r="G40" s="42"/>
      <c r="H40" s="42" t="s">
        <v>448</v>
      </c>
      <c r="I40" s="42" t="s">
        <v>78</v>
      </c>
    </row>
    <row r="41" spans="1:9" x14ac:dyDescent="0.25">
      <c r="A41" s="42" t="s">
        <v>449</v>
      </c>
      <c r="B41" s="42" t="s">
        <v>20</v>
      </c>
      <c r="C41" s="42">
        <v>3.49E-3</v>
      </c>
      <c r="D41" s="43" t="s">
        <v>534</v>
      </c>
      <c r="E41" s="42" t="s">
        <v>15</v>
      </c>
      <c r="F41" s="42" t="s">
        <v>45</v>
      </c>
      <c r="G41" s="42"/>
      <c r="H41" s="42" t="s">
        <v>449</v>
      </c>
      <c r="I41" s="42" t="s">
        <v>78</v>
      </c>
    </row>
    <row r="42" spans="1:9" x14ac:dyDescent="0.25">
      <c r="A42" s="42" t="s">
        <v>450</v>
      </c>
      <c r="B42" s="42" t="s">
        <v>20</v>
      </c>
      <c r="C42" s="42">
        <v>1.2500000000000001E-2</v>
      </c>
      <c r="D42" s="43" t="s">
        <v>534</v>
      </c>
      <c r="E42" s="42" t="s">
        <v>15</v>
      </c>
      <c r="F42" s="42" t="s">
        <v>45</v>
      </c>
      <c r="G42" s="42"/>
      <c r="H42" s="42" t="s">
        <v>450</v>
      </c>
      <c r="I42" s="42" t="s">
        <v>78</v>
      </c>
    </row>
    <row r="43" spans="1:9" x14ac:dyDescent="0.25">
      <c r="A43" s="42" t="s">
        <v>451</v>
      </c>
      <c r="B43" s="42" t="s">
        <v>20</v>
      </c>
      <c r="C43" s="42">
        <v>1.66E-2</v>
      </c>
      <c r="D43" s="43" t="s">
        <v>534</v>
      </c>
      <c r="E43" s="42" t="s">
        <v>15</v>
      </c>
      <c r="F43" s="42" t="s">
        <v>45</v>
      </c>
      <c r="G43" s="42"/>
      <c r="H43" s="42" t="s">
        <v>451</v>
      </c>
      <c r="I43" s="42" t="s">
        <v>78</v>
      </c>
    </row>
    <row r="44" spans="1:9" x14ac:dyDescent="0.25">
      <c r="A44" s="42" t="s">
        <v>452</v>
      </c>
      <c r="B44" s="42" t="s">
        <v>20</v>
      </c>
      <c r="C44" s="42">
        <v>1.66E-2</v>
      </c>
      <c r="D44" s="43" t="s">
        <v>534</v>
      </c>
      <c r="E44" s="42" t="s">
        <v>15</v>
      </c>
      <c r="F44" s="42" t="s">
        <v>45</v>
      </c>
      <c r="G44" s="42"/>
      <c r="H44" s="42" t="s">
        <v>452</v>
      </c>
      <c r="I44" s="42" t="s">
        <v>78</v>
      </c>
    </row>
    <row r="45" spans="1:9" x14ac:dyDescent="0.25">
      <c r="A45" s="42" t="s">
        <v>453</v>
      </c>
      <c r="B45" s="42" t="s">
        <v>20</v>
      </c>
      <c r="C45" s="42">
        <v>0.02</v>
      </c>
      <c r="D45" s="43" t="s">
        <v>534</v>
      </c>
      <c r="E45" s="42" t="s">
        <v>15</v>
      </c>
      <c r="F45" s="42" t="s">
        <v>45</v>
      </c>
      <c r="G45" s="42"/>
      <c r="H45" s="42" t="s">
        <v>453</v>
      </c>
      <c r="I45" s="42" t="s">
        <v>78</v>
      </c>
    </row>
    <row r="46" spans="1:9" x14ac:dyDescent="0.25">
      <c r="A46" s="42" t="s">
        <v>454</v>
      </c>
      <c r="B46" s="42" t="s">
        <v>20</v>
      </c>
      <c r="C46" s="42">
        <v>3.2100000000000004E-2</v>
      </c>
      <c r="D46" s="43" t="s">
        <v>534</v>
      </c>
      <c r="E46" s="42" t="s">
        <v>15</v>
      </c>
      <c r="F46" s="42" t="s">
        <v>45</v>
      </c>
      <c r="G46" s="42"/>
      <c r="H46" s="42" t="s">
        <v>454</v>
      </c>
      <c r="I46" s="42" t="s">
        <v>78</v>
      </c>
    </row>
    <row r="47" spans="1:9" x14ac:dyDescent="0.25">
      <c r="A47" s="42" t="s">
        <v>455</v>
      </c>
      <c r="B47" s="42" t="s">
        <v>20</v>
      </c>
      <c r="C47" s="42">
        <v>3.6299999999999999E-2</v>
      </c>
      <c r="D47" s="43" t="s">
        <v>534</v>
      </c>
      <c r="E47" s="42" t="s">
        <v>15</v>
      </c>
      <c r="F47" s="42" t="s">
        <v>45</v>
      </c>
      <c r="G47" s="42"/>
      <c r="H47" s="42" t="s">
        <v>455</v>
      </c>
      <c r="I47" s="42" t="s">
        <v>78</v>
      </c>
    </row>
    <row r="48" spans="1:9" x14ac:dyDescent="0.25">
      <c r="A48" s="42" t="s">
        <v>456</v>
      </c>
      <c r="B48" s="42" t="s">
        <v>20</v>
      </c>
      <c r="C48" s="42">
        <v>1.592E-2</v>
      </c>
      <c r="D48" s="43" t="s">
        <v>534</v>
      </c>
      <c r="E48" s="42" t="s">
        <v>15</v>
      </c>
      <c r="F48" s="42" t="s">
        <v>45</v>
      </c>
      <c r="G48" s="42"/>
      <c r="H48" s="42" t="s">
        <v>456</v>
      </c>
      <c r="I48" s="42" t="s">
        <v>78</v>
      </c>
    </row>
    <row r="49" spans="1:10" x14ac:dyDescent="0.25">
      <c r="A49" s="42" t="s">
        <v>457</v>
      </c>
      <c r="B49" s="42" t="s">
        <v>20</v>
      </c>
      <c r="C49" s="42">
        <v>3.2000000000000001E-2</v>
      </c>
      <c r="D49" s="43" t="s">
        <v>534</v>
      </c>
      <c r="E49" s="42" t="s">
        <v>15</v>
      </c>
      <c r="F49" s="42" t="s">
        <v>45</v>
      </c>
      <c r="G49" s="42"/>
      <c r="H49" s="42" t="s">
        <v>457</v>
      </c>
      <c r="I49" s="42" t="s">
        <v>78</v>
      </c>
    </row>
    <row r="50" spans="1:10" x14ac:dyDescent="0.25">
      <c r="A50" s="42" t="s">
        <v>458</v>
      </c>
      <c r="B50" s="42" t="s">
        <v>20</v>
      </c>
      <c r="C50" s="42">
        <v>5.7599999999999998E-2</v>
      </c>
      <c r="D50" s="43" t="s">
        <v>534</v>
      </c>
      <c r="E50" s="42" t="s">
        <v>15</v>
      </c>
      <c r="F50" s="42" t="s">
        <v>45</v>
      </c>
      <c r="G50" s="42"/>
      <c r="H50" s="42" t="s">
        <v>458</v>
      </c>
      <c r="I50" s="42" t="s">
        <v>78</v>
      </c>
    </row>
    <row r="51" spans="1:10" x14ac:dyDescent="0.25">
      <c r="A51" s="42" t="s">
        <v>459</v>
      </c>
      <c r="B51" s="42" t="s">
        <v>20</v>
      </c>
      <c r="C51" s="42">
        <v>3.805E-2</v>
      </c>
      <c r="D51" s="43" t="s">
        <v>534</v>
      </c>
      <c r="E51" s="42" t="s">
        <v>15</v>
      </c>
      <c r="F51" s="42" t="s">
        <v>45</v>
      </c>
      <c r="G51" s="42"/>
      <c r="H51" s="42" t="s">
        <v>459</v>
      </c>
      <c r="I51" s="42" t="s">
        <v>78</v>
      </c>
    </row>
    <row r="52" spans="1:10" x14ac:dyDescent="0.25">
      <c r="A52" s="42" t="s">
        <v>460</v>
      </c>
      <c r="B52" s="42" t="s">
        <v>20</v>
      </c>
      <c r="C52" s="42">
        <v>0.3715</v>
      </c>
      <c r="D52" s="43" t="s">
        <v>534</v>
      </c>
      <c r="E52" s="42" t="s">
        <v>15</v>
      </c>
      <c r="F52" s="42" t="s">
        <v>45</v>
      </c>
      <c r="G52" s="42"/>
      <c r="H52" s="42" t="s">
        <v>460</v>
      </c>
      <c r="I52" s="42" t="s">
        <v>78</v>
      </c>
    </row>
    <row r="53" spans="1:10" x14ac:dyDescent="0.25">
      <c r="A53" s="42" t="s">
        <v>410</v>
      </c>
      <c r="B53" s="42" t="s">
        <v>14</v>
      </c>
      <c r="C53" s="42">
        <v>0.16800000000000001</v>
      </c>
      <c r="D53" s="43" t="s">
        <v>534</v>
      </c>
      <c r="E53" s="42" t="s">
        <v>15</v>
      </c>
      <c r="F53" s="42" t="s">
        <v>91</v>
      </c>
      <c r="G53" s="42"/>
      <c r="H53" s="42" t="s">
        <v>410</v>
      </c>
      <c r="I53" s="42" t="s">
        <v>77</v>
      </c>
    </row>
    <row r="54" spans="1:10" x14ac:dyDescent="0.25">
      <c r="A54" s="42" t="s">
        <v>409</v>
      </c>
      <c r="B54" s="42" t="s">
        <v>14</v>
      </c>
      <c r="C54" s="42">
        <v>0.16800000000000001</v>
      </c>
      <c r="D54" s="43" t="s">
        <v>534</v>
      </c>
      <c r="E54" s="42" t="s">
        <v>15</v>
      </c>
      <c r="F54" s="42" t="s">
        <v>91</v>
      </c>
      <c r="G54" s="42"/>
      <c r="H54" s="42" t="s">
        <v>409</v>
      </c>
      <c r="I54" s="42" t="s">
        <v>77</v>
      </c>
    </row>
    <row r="55" spans="1:10" x14ac:dyDescent="0.25">
      <c r="A55" s="42" t="s">
        <v>5</v>
      </c>
      <c r="B55" s="42" t="s">
        <v>14</v>
      </c>
      <c r="C55" s="42">
        <v>2.1999999999999999E-2</v>
      </c>
      <c r="D55" s="43" t="s">
        <v>534</v>
      </c>
      <c r="E55" s="42" t="s">
        <v>15</v>
      </c>
      <c r="F55" s="42" t="s">
        <v>91</v>
      </c>
      <c r="G55" s="42"/>
      <c r="H55" s="42" t="s">
        <v>5</v>
      </c>
      <c r="I55" s="42" t="s">
        <v>5</v>
      </c>
    </row>
    <row r="56" spans="1:10" x14ac:dyDescent="0.25">
      <c r="A56" s="42" t="s">
        <v>46</v>
      </c>
      <c r="B56" s="42" t="s">
        <v>14</v>
      </c>
      <c r="C56" s="42">
        <v>8.2000000000000003E-2</v>
      </c>
      <c r="D56" s="43" t="s">
        <v>534</v>
      </c>
      <c r="E56" s="42" t="s">
        <v>15</v>
      </c>
      <c r="F56" s="42" t="s">
        <v>91</v>
      </c>
      <c r="G56" s="42"/>
      <c r="H56" s="42" t="s">
        <v>46</v>
      </c>
      <c r="I56" s="42" t="s">
        <v>78</v>
      </c>
    </row>
    <row r="57" spans="1:10" x14ac:dyDescent="0.25">
      <c r="A57" s="42" t="s">
        <v>6</v>
      </c>
      <c r="B57" s="42" t="s">
        <v>14</v>
      </c>
      <c r="C57" s="42">
        <v>0.90500000000000003</v>
      </c>
      <c r="D57" s="43" t="s">
        <v>534</v>
      </c>
      <c r="E57" s="42" t="s">
        <v>15</v>
      </c>
      <c r="F57" s="42" t="s">
        <v>91</v>
      </c>
      <c r="G57" s="42"/>
      <c r="H57" s="42" t="s">
        <v>6</v>
      </c>
      <c r="I57" s="42" t="s">
        <v>6</v>
      </c>
    </row>
    <row r="58" spans="1:10" x14ac:dyDescent="0.25">
      <c r="A58" s="42" t="s">
        <v>410</v>
      </c>
      <c r="B58" s="42" t="s">
        <v>14</v>
      </c>
      <c r="C58" s="42">
        <v>1.2470000000000001</v>
      </c>
      <c r="D58" s="43" t="s">
        <v>534</v>
      </c>
      <c r="E58" s="42" t="s">
        <v>15</v>
      </c>
      <c r="F58" s="42" t="s">
        <v>461</v>
      </c>
      <c r="G58" s="42"/>
      <c r="H58" s="42" t="s">
        <v>410</v>
      </c>
      <c r="I58" s="42" t="s">
        <v>77</v>
      </c>
    </row>
    <row r="59" spans="1:10" x14ac:dyDescent="0.25">
      <c r="A59" s="42" t="s">
        <v>409</v>
      </c>
      <c r="B59" s="42" t="s">
        <v>14</v>
      </c>
      <c r="C59" s="42">
        <v>1.2470000000000001</v>
      </c>
      <c r="D59" s="43" t="s">
        <v>534</v>
      </c>
      <c r="E59" s="42" t="s">
        <v>15</v>
      </c>
      <c r="F59" s="42" t="s">
        <v>461</v>
      </c>
      <c r="G59" s="42"/>
      <c r="H59" s="42" t="s">
        <v>409</v>
      </c>
      <c r="I59" s="42" t="s">
        <v>77</v>
      </c>
    </row>
    <row r="60" spans="1:10" x14ac:dyDescent="0.25">
      <c r="A60" s="42" t="s">
        <v>225</v>
      </c>
      <c r="B60" s="42" t="s">
        <v>14</v>
      </c>
      <c r="C60" s="42">
        <v>0.17499999999999999</v>
      </c>
      <c r="D60" s="43" t="s">
        <v>534</v>
      </c>
      <c r="E60" s="42" t="s">
        <v>15</v>
      </c>
      <c r="F60" s="42" t="s">
        <v>461</v>
      </c>
      <c r="G60" s="42"/>
      <c r="H60" s="42" t="s">
        <v>225</v>
      </c>
      <c r="I60" s="42" t="s">
        <v>77</v>
      </c>
    </row>
    <row r="61" spans="1:10" x14ac:dyDescent="0.25">
      <c r="A61" s="42" t="s">
        <v>411</v>
      </c>
      <c r="B61" s="42" t="s">
        <v>14</v>
      </c>
      <c r="C61" s="42">
        <v>0.95499999999999996</v>
      </c>
      <c r="D61" s="43" t="s">
        <v>534</v>
      </c>
      <c r="E61" s="42" t="s">
        <v>15</v>
      </c>
      <c r="F61" s="42" t="s">
        <v>461</v>
      </c>
      <c r="G61" s="42"/>
      <c r="H61" s="42" t="s">
        <v>411</v>
      </c>
      <c r="I61" s="42" t="s">
        <v>77</v>
      </c>
    </row>
    <row r="63" spans="1:10" x14ac:dyDescent="0.25">
      <c r="A63" s="2" t="s">
        <v>47</v>
      </c>
      <c r="B63" s="3"/>
      <c r="C63" s="3"/>
      <c r="D63" s="3"/>
      <c r="E63" s="3"/>
      <c r="F63" s="3"/>
      <c r="G63" s="3"/>
      <c r="H63" s="3"/>
      <c r="I63" s="3"/>
      <c r="J63" s="3"/>
    </row>
    <row r="64" spans="1:10" x14ac:dyDescent="0.25">
      <c r="A64" s="1"/>
    </row>
    <row r="65" spans="1:10" x14ac:dyDescent="0.25">
      <c r="A65" s="41" t="s">
        <v>43</v>
      </c>
      <c r="B65" s="41" t="s">
        <v>7</v>
      </c>
      <c r="C65" s="41" t="s">
        <v>2</v>
      </c>
      <c r="D65" s="41" t="s">
        <v>23</v>
      </c>
      <c r="E65" s="41" t="s">
        <v>24</v>
      </c>
      <c r="F65" s="41" t="s">
        <v>3</v>
      </c>
      <c r="G65" s="41" t="s">
        <v>25</v>
      </c>
      <c r="H65" s="41" t="s">
        <v>26</v>
      </c>
      <c r="I65" s="41" t="s">
        <v>11</v>
      </c>
      <c r="J65" s="41" t="s">
        <v>13</v>
      </c>
    </row>
    <row r="66" spans="1:10" x14ac:dyDescent="0.25">
      <c r="A66" s="42" t="s">
        <v>412</v>
      </c>
      <c r="B66" s="42" t="s">
        <v>20</v>
      </c>
      <c r="C66" s="42">
        <v>7.5200000000000003E-2</v>
      </c>
      <c r="D66" s="42" t="s">
        <v>28</v>
      </c>
      <c r="E66" s="42" t="s">
        <v>45</v>
      </c>
      <c r="F66" s="42">
        <v>7.46979865771812E-2</v>
      </c>
      <c r="G66" s="43" t="s">
        <v>28</v>
      </c>
      <c r="H66" s="42" t="s">
        <v>45</v>
      </c>
      <c r="I66" s="42"/>
      <c r="J66" s="42" t="s">
        <v>6</v>
      </c>
    </row>
    <row r="67" spans="1:10" x14ac:dyDescent="0.25">
      <c r="A67" s="42" t="s">
        <v>413</v>
      </c>
      <c r="B67" s="42" t="s">
        <v>20</v>
      </c>
      <c r="C67" s="42">
        <v>3.2000000000000002E-3</v>
      </c>
      <c r="D67" s="42" t="s">
        <v>28</v>
      </c>
      <c r="E67" s="42" t="s">
        <v>45</v>
      </c>
      <c r="F67" s="42">
        <v>3.828859060402684E-2</v>
      </c>
      <c r="G67" s="43" t="s">
        <v>28</v>
      </c>
      <c r="H67" s="42" t="s">
        <v>45</v>
      </c>
      <c r="I67" s="42"/>
      <c r="J67" s="42" t="s">
        <v>6</v>
      </c>
    </row>
    <row r="68" spans="1:10" x14ac:dyDescent="0.25">
      <c r="A68" s="42" t="s">
        <v>414</v>
      </c>
      <c r="B68" s="42" t="s">
        <v>20</v>
      </c>
      <c r="C68" s="42">
        <v>1.6000000000000001E-3</v>
      </c>
      <c r="D68" s="42" t="s">
        <v>28</v>
      </c>
      <c r="E68" s="42" t="s">
        <v>45</v>
      </c>
      <c r="F68" s="42">
        <v>1.6946308724832201E-2</v>
      </c>
      <c r="G68" s="43" t="s">
        <v>28</v>
      </c>
      <c r="H68" s="42" t="s">
        <v>45</v>
      </c>
      <c r="I68" s="42"/>
      <c r="J68" s="42" t="s">
        <v>6</v>
      </c>
    </row>
    <row r="69" spans="1:10" x14ac:dyDescent="0.25">
      <c r="A69" s="42" t="s">
        <v>415</v>
      </c>
      <c r="B69" s="42" t="s">
        <v>20</v>
      </c>
      <c r="C69" s="42">
        <v>1.6000000000000001E-3</v>
      </c>
      <c r="D69" s="42" t="s">
        <v>28</v>
      </c>
      <c r="E69" s="42" t="s">
        <v>45</v>
      </c>
      <c r="F69" s="42">
        <v>1.6946308724832215E-2</v>
      </c>
      <c r="G69" s="43" t="s">
        <v>28</v>
      </c>
      <c r="H69" s="42" t="s">
        <v>45</v>
      </c>
      <c r="I69" s="42"/>
      <c r="J69" s="42" t="s">
        <v>6</v>
      </c>
    </row>
    <row r="70" spans="1:10" x14ac:dyDescent="0.25">
      <c r="A70" s="42" t="s">
        <v>416</v>
      </c>
      <c r="B70" s="42" t="s">
        <v>20</v>
      </c>
      <c r="C70" s="42">
        <v>8.0000000000000004E-4</v>
      </c>
      <c r="D70" s="42" t="s">
        <v>28</v>
      </c>
      <c r="E70" s="42" t="s">
        <v>45</v>
      </c>
      <c r="F70" s="42">
        <v>1.0402684563758399E-3</v>
      </c>
      <c r="G70" s="43" t="s">
        <v>28</v>
      </c>
      <c r="H70" s="42" t="s">
        <v>45</v>
      </c>
      <c r="I70" s="42"/>
      <c r="J70" s="42" t="s">
        <v>5</v>
      </c>
    </row>
    <row r="71" spans="1:10" x14ac:dyDescent="0.25">
      <c r="A71" s="42" t="s">
        <v>417</v>
      </c>
      <c r="B71" s="42" t="s">
        <v>20</v>
      </c>
      <c r="C71" s="42">
        <v>5.1200000000000002E-2</v>
      </c>
      <c r="D71" s="42" t="s">
        <v>28</v>
      </c>
      <c r="E71" s="42" t="s">
        <v>45</v>
      </c>
      <c r="F71" s="42">
        <v>8.8590604026845595E-3</v>
      </c>
      <c r="G71" s="43" t="s">
        <v>28</v>
      </c>
      <c r="H71" s="42" t="s">
        <v>45</v>
      </c>
      <c r="I71" s="42"/>
      <c r="J71" s="42" t="s">
        <v>77</v>
      </c>
    </row>
    <row r="72" spans="1:10" x14ac:dyDescent="0.25">
      <c r="A72" s="42" t="s">
        <v>418</v>
      </c>
      <c r="B72" s="42" t="s">
        <v>20</v>
      </c>
      <c r="C72" s="42">
        <v>3.4799999999999998E-2</v>
      </c>
      <c r="D72" s="42" t="s">
        <v>28</v>
      </c>
      <c r="E72" s="42" t="s">
        <v>45</v>
      </c>
      <c r="F72" s="42">
        <v>6.0067114093959699E-3</v>
      </c>
      <c r="G72" s="43" t="s">
        <v>28</v>
      </c>
      <c r="H72" s="42" t="s">
        <v>45</v>
      </c>
      <c r="I72" s="42"/>
      <c r="J72" s="42" t="s">
        <v>77</v>
      </c>
    </row>
    <row r="73" spans="1:10" x14ac:dyDescent="0.25">
      <c r="A73" s="42" t="s">
        <v>419</v>
      </c>
      <c r="B73" s="42" t="s">
        <v>20</v>
      </c>
      <c r="C73" s="42">
        <v>2.3600000000000003E-2</v>
      </c>
      <c r="D73" s="42" t="s">
        <v>28</v>
      </c>
      <c r="E73" s="42" t="s">
        <v>45</v>
      </c>
      <c r="F73" s="42">
        <v>4.0939597315436237E-3</v>
      </c>
      <c r="G73" s="43" t="s">
        <v>28</v>
      </c>
      <c r="H73" s="42" t="s">
        <v>45</v>
      </c>
      <c r="I73" s="42"/>
      <c r="J73" s="42" t="s">
        <v>77</v>
      </c>
    </row>
    <row r="74" spans="1:10" x14ac:dyDescent="0.25">
      <c r="A74" s="42" t="s">
        <v>420</v>
      </c>
      <c r="B74" s="42" t="s">
        <v>20</v>
      </c>
      <c r="C74" s="42">
        <v>3.2399999999999998E-2</v>
      </c>
      <c r="D74" s="42" t="s">
        <v>28</v>
      </c>
      <c r="E74" s="42" t="s">
        <v>45</v>
      </c>
      <c r="F74" s="42">
        <v>5.6375838926174503E-3</v>
      </c>
      <c r="G74" s="43" t="s">
        <v>28</v>
      </c>
      <c r="H74" s="42" t="s">
        <v>45</v>
      </c>
      <c r="I74" s="42"/>
      <c r="J74" s="42" t="s">
        <v>77</v>
      </c>
    </row>
    <row r="75" spans="1:10" x14ac:dyDescent="0.25">
      <c r="A75" s="42" t="s">
        <v>421</v>
      </c>
      <c r="B75" s="42" t="s">
        <v>20</v>
      </c>
      <c r="C75" s="42">
        <v>8.0000000000000004E-4</v>
      </c>
      <c r="D75" s="42" t="s">
        <v>28</v>
      </c>
      <c r="E75" s="42" t="s">
        <v>45</v>
      </c>
      <c r="F75" s="42">
        <v>3.4697986577181206E-2</v>
      </c>
      <c r="G75" s="43" t="s">
        <v>28</v>
      </c>
      <c r="H75" s="42" t="s">
        <v>45</v>
      </c>
      <c r="I75" s="42"/>
      <c r="J75" s="42" t="s">
        <v>77</v>
      </c>
    </row>
    <row r="76" spans="1:10" x14ac:dyDescent="0.25">
      <c r="A76" s="42" t="s">
        <v>422</v>
      </c>
      <c r="B76" s="42" t="s">
        <v>20</v>
      </c>
      <c r="C76" s="42">
        <v>4.0000000000000002E-4</v>
      </c>
      <c r="D76" s="42" t="s">
        <v>28</v>
      </c>
      <c r="E76" s="42" t="s">
        <v>45</v>
      </c>
      <c r="F76" s="42">
        <v>2.1442953020134225E-2</v>
      </c>
      <c r="G76" s="43" t="s">
        <v>28</v>
      </c>
      <c r="H76" s="42" t="s">
        <v>45</v>
      </c>
      <c r="I76" s="42"/>
      <c r="J76" s="42" t="s">
        <v>77</v>
      </c>
    </row>
    <row r="77" spans="1:10" x14ac:dyDescent="0.25">
      <c r="A77" s="42" t="s">
        <v>423</v>
      </c>
      <c r="B77" s="42" t="s">
        <v>20</v>
      </c>
      <c r="C77" s="42">
        <v>4.0000000000000002E-4</v>
      </c>
      <c r="D77" s="42" t="s">
        <v>28</v>
      </c>
      <c r="E77" s="42" t="s">
        <v>45</v>
      </c>
      <c r="F77" s="42">
        <v>1.3959731543624159E-2</v>
      </c>
      <c r="G77" s="43" t="s">
        <v>28</v>
      </c>
      <c r="H77" s="42" t="s">
        <v>45</v>
      </c>
      <c r="I77" s="42"/>
      <c r="J77" s="42" t="s">
        <v>77</v>
      </c>
    </row>
    <row r="78" spans="1:10" x14ac:dyDescent="0.25">
      <c r="A78" s="42" t="s">
        <v>424</v>
      </c>
      <c r="B78" s="42" t="s">
        <v>20</v>
      </c>
      <c r="C78" s="42">
        <v>4.0000000000000002E-4</v>
      </c>
      <c r="D78" s="42" t="s">
        <v>28</v>
      </c>
      <c r="E78" s="42" t="s">
        <v>45</v>
      </c>
      <c r="F78" s="42">
        <v>1.5604026845637583E-2</v>
      </c>
      <c r="G78" s="43" t="s">
        <v>28</v>
      </c>
      <c r="H78" s="42" t="s">
        <v>45</v>
      </c>
      <c r="I78" s="42"/>
      <c r="J78" s="42" t="s">
        <v>77</v>
      </c>
    </row>
    <row r="79" spans="1:10" x14ac:dyDescent="0.25">
      <c r="A79" s="42" t="s">
        <v>425</v>
      </c>
      <c r="B79" s="42" t="s">
        <v>20</v>
      </c>
      <c r="C79" s="42">
        <v>0.11800000000000001</v>
      </c>
      <c r="D79" s="42" t="s">
        <v>28</v>
      </c>
      <c r="E79" s="42" t="s">
        <v>45</v>
      </c>
      <c r="F79" s="42">
        <v>4.6979865771812077E-3</v>
      </c>
      <c r="G79" s="43" t="s">
        <v>28</v>
      </c>
      <c r="H79" s="42" t="s">
        <v>45</v>
      </c>
      <c r="I79" s="42"/>
      <c r="J79" s="42" t="s">
        <v>77</v>
      </c>
    </row>
    <row r="80" spans="1:10" x14ac:dyDescent="0.25">
      <c r="A80" s="42" t="s">
        <v>426</v>
      </c>
      <c r="B80" s="42" t="s">
        <v>20</v>
      </c>
      <c r="C80" s="42">
        <v>3.6000000000000003E-3</v>
      </c>
      <c r="D80" s="42" t="s">
        <v>28</v>
      </c>
      <c r="E80" s="42" t="s">
        <v>45</v>
      </c>
      <c r="F80" s="42">
        <v>4.6979865771812077E-3</v>
      </c>
      <c r="G80" s="43" t="s">
        <v>28</v>
      </c>
      <c r="H80" s="42" t="s">
        <v>45</v>
      </c>
      <c r="I80" s="42"/>
      <c r="J80" s="42" t="s">
        <v>77</v>
      </c>
    </row>
    <row r="81" spans="1:10" x14ac:dyDescent="0.25">
      <c r="A81" s="42" t="s">
        <v>427</v>
      </c>
      <c r="B81" s="42" t="s">
        <v>20</v>
      </c>
      <c r="C81" s="42">
        <v>1.1999999999999999E-3</v>
      </c>
      <c r="D81" s="42" t="s">
        <v>28</v>
      </c>
      <c r="E81" s="42" t="s">
        <v>45</v>
      </c>
      <c r="F81" s="42">
        <v>1.5270000000000001E-2</v>
      </c>
      <c r="G81" s="43" t="s">
        <v>28</v>
      </c>
      <c r="H81" s="42" t="s">
        <v>45</v>
      </c>
      <c r="I81" s="42"/>
      <c r="J81" s="42" t="s">
        <v>77</v>
      </c>
    </row>
    <row r="82" spans="1:10" x14ac:dyDescent="0.25">
      <c r="A82" s="42" t="s">
        <v>428</v>
      </c>
      <c r="B82" s="42" t="s">
        <v>20</v>
      </c>
      <c r="C82" s="42">
        <v>4.000000000000001E-3</v>
      </c>
      <c r="D82" s="42" t="s">
        <v>28</v>
      </c>
      <c r="E82" s="42" t="s">
        <v>45</v>
      </c>
      <c r="F82" s="42">
        <v>2.0302013422818791E-2</v>
      </c>
      <c r="G82" s="43" t="s">
        <v>28</v>
      </c>
      <c r="H82" s="42" t="s">
        <v>45</v>
      </c>
      <c r="I82" s="42"/>
      <c r="J82" s="42" t="s">
        <v>77</v>
      </c>
    </row>
    <row r="83" spans="1:10" x14ac:dyDescent="0.25">
      <c r="A83" s="42" t="s">
        <v>429</v>
      </c>
      <c r="B83" s="42" t="s">
        <v>20</v>
      </c>
      <c r="C83" s="42">
        <v>2.8E-3</v>
      </c>
      <c r="D83" s="42" t="s">
        <v>28</v>
      </c>
      <c r="E83" s="42" t="s">
        <v>45</v>
      </c>
      <c r="F83" s="42">
        <v>1.4161073825503355E-2</v>
      </c>
      <c r="G83" s="43" t="s">
        <v>28</v>
      </c>
      <c r="H83" s="42" t="s">
        <v>45</v>
      </c>
      <c r="I83" s="42"/>
      <c r="J83" s="42" t="s">
        <v>77</v>
      </c>
    </row>
    <row r="84" spans="1:10" x14ac:dyDescent="0.25">
      <c r="A84" s="42" t="s">
        <v>430</v>
      </c>
      <c r="B84" s="42" t="s">
        <v>20</v>
      </c>
      <c r="C84" s="42">
        <v>1.6000000000000001E-3</v>
      </c>
      <c r="D84" s="42" t="s">
        <v>28</v>
      </c>
      <c r="E84" s="42" t="s">
        <v>45</v>
      </c>
      <c r="F84" s="42">
        <v>7.5838926174496626E-3</v>
      </c>
      <c r="G84" s="43" t="s">
        <v>28</v>
      </c>
      <c r="H84" s="42" t="s">
        <v>45</v>
      </c>
      <c r="I84" s="42"/>
      <c r="J84" s="42" t="s">
        <v>77</v>
      </c>
    </row>
    <row r="85" spans="1:10" x14ac:dyDescent="0.25">
      <c r="A85" s="42" t="s">
        <v>431</v>
      </c>
      <c r="B85" s="42" t="s">
        <v>20</v>
      </c>
      <c r="C85" s="42">
        <v>1.6000000000000001E-3</v>
      </c>
      <c r="D85" s="42" t="s">
        <v>28</v>
      </c>
      <c r="E85" s="42" t="s">
        <v>45</v>
      </c>
      <c r="F85" s="42">
        <v>8.6577181208053675E-3</v>
      </c>
      <c r="G85" s="43" t="s">
        <v>28</v>
      </c>
      <c r="H85" s="42" t="s">
        <v>45</v>
      </c>
      <c r="I85" s="42"/>
      <c r="J85" s="42" t="s">
        <v>77</v>
      </c>
    </row>
    <row r="86" spans="1:10" x14ac:dyDescent="0.25">
      <c r="A86" s="42" t="s">
        <v>432</v>
      </c>
      <c r="B86" s="42" t="s">
        <v>20</v>
      </c>
      <c r="C86" s="42">
        <v>8.0000000000000004E-4</v>
      </c>
      <c r="D86" s="42" t="s">
        <v>28</v>
      </c>
      <c r="E86" s="42" t="s">
        <v>45</v>
      </c>
      <c r="F86" s="42">
        <v>7.4832214765100684E-3</v>
      </c>
      <c r="G86" s="43" t="s">
        <v>28</v>
      </c>
      <c r="H86" s="42" t="s">
        <v>45</v>
      </c>
      <c r="I86" s="42"/>
      <c r="J86" s="42" t="s">
        <v>77</v>
      </c>
    </row>
    <row r="87" spans="1:10" x14ac:dyDescent="0.25">
      <c r="A87" s="42" t="s">
        <v>433</v>
      </c>
      <c r="B87" s="42" t="s">
        <v>20</v>
      </c>
      <c r="C87" s="42">
        <v>4.0000000000000002E-4</v>
      </c>
      <c r="D87" s="42" t="s">
        <v>28</v>
      </c>
      <c r="E87" s="42" t="s">
        <v>45</v>
      </c>
      <c r="F87" s="42">
        <v>4.7315436241610739E-3</v>
      </c>
      <c r="G87" s="43" t="s">
        <v>28</v>
      </c>
      <c r="H87" s="42" t="s">
        <v>45</v>
      </c>
      <c r="I87" s="42"/>
      <c r="J87" s="42" t="s">
        <v>77</v>
      </c>
    </row>
    <row r="88" spans="1:10" x14ac:dyDescent="0.25">
      <c r="A88" s="42" t="s">
        <v>434</v>
      </c>
      <c r="B88" s="42" t="s">
        <v>20</v>
      </c>
      <c r="C88" s="42">
        <v>4.0000000000000002E-4</v>
      </c>
      <c r="D88" s="42" t="s">
        <v>28</v>
      </c>
      <c r="E88" s="42" t="s">
        <v>45</v>
      </c>
      <c r="F88" s="42">
        <v>4.7986577181208055E-3</v>
      </c>
      <c r="G88" s="43" t="s">
        <v>28</v>
      </c>
      <c r="H88" s="42" t="s">
        <v>45</v>
      </c>
      <c r="I88" s="42"/>
      <c r="J88" s="42" t="s">
        <v>77</v>
      </c>
    </row>
    <row r="89" spans="1:10" x14ac:dyDescent="0.25">
      <c r="A89" s="42" t="s">
        <v>435</v>
      </c>
      <c r="B89" s="42" t="s">
        <v>20</v>
      </c>
      <c r="C89" s="42">
        <v>8.0000000000000004E-4</v>
      </c>
      <c r="D89" s="42" t="s">
        <v>28</v>
      </c>
      <c r="E89" s="42" t="s">
        <v>45</v>
      </c>
      <c r="F89" s="42">
        <v>5.6040268456375841E-3</v>
      </c>
      <c r="G89" s="43" t="s">
        <v>28</v>
      </c>
      <c r="H89" s="42" t="s">
        <v>45</v>
      </c>
      <c r="I89" s="42"/>
      <c r="J89" s="42" t="s">
        <v>77</v>
      </c>
    </row>
    <row r="90" spans="1:10" x14ac:dyDescent="0.25">
      <c r="A90" s="42" t="s">
        <v>436</v>
      </c>
      <c r="B90" s="42" t="s">
        <v>20</v>
      </c>
      <c r="C90" s="42">
        <v>4.0000000000000003E-5</v>
      </c>
      <c r="D90" s="42" t="s">
        <v>28</v>
      </c>
      <c r="E90" s="42" t="s">
        <v>45</v>
      </c>
      <c r="F90" s="42">
        <v>1.3087248322147651E-4</v>
      </c>
      <c r="G90" s="43" t="s">
        <v>28</v>
      </c>
      <c r="H90" s="42" t="s">
        <v>45</v>
      </c>
      <c r="I90" s="42"/>
      <c r="J90" s="42" t="s">
        <v>78</v>
      </c>
    </row>
    <row r="91" spans="1:10" x14ac:dyDescent="0.25">
      <c r="A91" s="42" t="s">
        <v>437</v>
      </c>
      <c r="B91" s="42" t="s">
        <v>20</v>
      </c>
      <c r="C91" s="42">
        <v>4.0000000000000003E-5</v>
      </c>
      <c r="D91" s="42" t="s">
        <v>28</v>
      </c>
      <c r="E91" s="42" t="s">
        <v>45</v>
      </c>
      <c r="F91" s="42">
        <v>2.0134228187919463E-4</v>
      </c>
      <c r="G91" s="43" t="s">
        <v>28</v>
      </c>
      <c r="H91" s="42" t="s">
        <v>45</v>
      </c>
      <c r="I91" s="42"/>
      <c r="J91" s="42" t="s">
        <v>78</v>
      </c>
    </row>
    <row r="92" spans="1:10" x14ac:dyDescent="0.25">
      <c r="A92" s="42" t="s">
        <v>438</v>
      </c>
      <c r="B92" s="42" t="s">
        <v>20</v>
      </c>
      <c r="C92" s="42">
        <v>8.0000000000000007E-5</v>
      </c>
      <c r="D92" s="42" t="s">
        <v>28</v>
      </c>
      <c r="E92" s="42" t="s">
        <v>45</v>
      </c>
      <c r="F92" s="42">
        <v>2.684563758389262E-4</v>
      </c>
      <c r="G92" s="43" t="s">
        <v>28</v>
      </c>
      <c r="H92" s="42" t="s">
        <v>45</v>
      </c>
      <c r="I92" s="42"/>
      <c r="J92" s="42" t="s">
        <v>78</v>
      </c>
    </row>
    <row r="93" spans="1:10" x14ac:dyDescent="0.25">
      <c r="A93" s="42" t="s">
        <v>439</v>
      </c>
      <c r="B93" s="42" t="s">
        <v>20</v>
      </c>
      <c r="C93" s="42">
        <v>8.0000000000000007E-5</v>
      </c>
      <c r="D93" s="42" t="s">
        <v>28</v>
      </c>
      <c r="E93" s="42" t="s">
        <v>45</v>
      </c>
      <c r="F93" s="42">
        <v>3.4228187919463089E-4</v>
      </c>
      <c r="G93" s="43" t="s">
        <v>28</v>
      </c>
      <c r="H93" s="42" t="s">
        <v>45</v>
      </c>
      <c r="I93" s="42"/>
      <c r="J93" s="42" t="s">
        <v>78</v>
      </c>
    </row>
    <row r="94" spans="1:10" x14ac:dyDescent="0.25">
      <c r="A94" s="42" t="s">
        <v>440</v>
      </c>
      <c r="B94" s="42" t="s">
        <v>20</v>
      </c>
      <c r="C94" s="42">
        <v>1.2000000000000002E-4</v>
      </c>
      <c r="D94" s="42" t="s">
        <v>28</v>
      </c>
      <c r="E94" s="42" t="s">
        <v>45</v>
      </c>
      <c r="F94" s="42">
        <v>4.1610738255033557E-4</v>
      </c>
      <c r="G94" s="43" t="s">
        <v>28</v>
      </c>
      <c r="H94" s="42" t="s">
        <v>45</v>
      </c>
      <c r="I94" s="42"/>
      <c r="J94" s="42" t="s">
        <v>78</v>
      </c>
    </row>
    <row r="95" spans="1:10" x14ac:dyDescent="0.25">
      <c r="A95" s="42" t="s">
        <v>441</v>
      </c>
      <c r="B95" s="42" t="s">
        <v>20</v>
      </c>
      <c r="C95" s="42">
        <v>4.0000000000000002E-4</v>
      </c>
      <c r="D95" s="42" t="s">
        <v>28</v>
      </c>
      <c r="E95" s="42" t="s">
        <v>45</v>
      </c>
      <c r="F95" s="42">
        <v>1.5201342281879195E-3</v>
      </c>
      <c r="G95" s="43" t="s">
        <v>28</v>
      </c>
      <c r="H95" s="42" t="s">
        <v>45</v>
      </c>
      <c r="I95" s="42"/>
      <c r="J95" s="42" t="s">
        <v>78</v>
      </c>
    </row>
    <row r="96" spans="1:10" x14ac:dyDescent="0.25">
      <c r="A96" s="42" t="s">
        <v>442</v>
      </c>
      <c r="B96" s="42" t="s">
        <v>20</v>
      </c>
      <c r="C96" s="42">
        <v>4.0000000000000003E-5</v>
      </c>
      <c r="D96" s="42" t="s">
        <v>28</v>
      </c>
      <c r="E96" s="42" t="s">
        <v>45</v>
      </c>
      <c r="F96" s="42">
        <v>2.0469798657718122E-4</v>
      </c>
      <c r="G96" s="43" t="s">
        <v>28</v>
      </c>
      <c r="H96" s="42" t="s">
        <v>45</v>
      </c>
      <c r="I96" s="42"/>
      <c r="J96" s="42" t="s">
        <v>78</v>
      </c>
    </row>
    <row r="97" spans="1:10" x14ac:dyDescent="0.25">
      <c r="A97" s="42" t="s">
        <v>443</v>
      </c>
      <c r="B97" s="42" t="s">
        <v>20</v>
      </c>
      <c r="C97" s="42">
        <v>4.0000000000000003E-5</v>
      </c>
      <c r="D97" s="42" t="s">
        <v>28</v>
      </c>
      <c r="E97" s="42" t="s">
        <v>45</v>
      </c>
      <c r="F97" s="42">
        <v>1.1409395973154362E-4</v>
      </c>
      <c r="G97" s="43" t="s">
        <v>28</v>
      </c>
      <c r="H97" s="42" t="s">
        <v>45</v>
      </c>
      <c r="I97" s="42"/>
      <c r="J97" s="42" t="s">
        <v>78</v>
      </c>
    </row>
    <row r="98" spans="1:10" x14ac:dyDescent="0.25">
      <c r="A98" s="42" t="s">
        <v>444</v>
      </c>
      <c r="B98" s="42" t="s">
        <v>20</v>
      </c>
      <c r="C98" s="42">
        <v>4.0000000000000003E-5</v>
      </c>
      <c r="D98" s="42" t="s">
        <v>28</v>
      </c>
      <c r="E98" s="42" t="s">
        <v>45</v>
      </c>
      <c r="F98" s="42">
        <v>1.3758389261744967E-4</v>
      </c>
      <c r="G98" s="43" t="s">
        <v>28</v>
      </c>
      <c r="H98" s="42" t="s">
        <v>45</v>
      </c>
      <c r="I98" s="42"/>
      <c r="J98" s="42" t="s">
        <v>78</v>
      </c>
    </row>
    <row r="99" spans="1:10" x14ac:dyDescent="0.25">
      <c r="A99" s="42" t="s">
        <v>445</v>
      </c>
      <c r="B99" s="42" t="s">
        <v>20</v>
      </c>
      <c r="C99" s="42">
        <v>4.0000000000000003E-5</v>
      </c>
      <c r="D99" s="42" t="s">
        <v>28</v>
      </c>
      <c r="E99" s="42" t="s">
        <v>45</v>
      </c>
      <c r="F99" s="42">
        <v>1.8791946308724833E-4</v>
      </c>
      <c r="G99" s="43" t="s">
        <v>28</v>
      </c>
      <c r="H99" s="42" t="s">
        <v>45</v>
      </c>
      <c r="I99" s="42"/>
      <c r="J99" s="42" t="s">
        <v>78</v>
      </c>
    </row>
    <row r="100" spans="1:10" x14ac:dyDescent="0.25">
      <c r="A100" s="42" t="s">
        <v>446</v>
      </c>
      <c r="B100" s="42" t="s">
        <v>20</v>
      </c>
      <c r="C100" s="42">
        <v>8.0000000000000007E-5</v>
      </c>
      <c r="D100" s="42" t="s">
        <v>28</v>
      </c>
      <c r="E100" s="42" t="s">
        <v>45</v>
      </c>
      <c r="F100" s="42">
        <v>2.6174496644295302E-4</v>
      </c>
      <c r="G100" s="43" t="s">
        <v>28</v>
      </c>
      <c r="H100" s="42" t="s">
        <v>45</v>
      </c>
      <c r="I100" s="42"/>
      <c r="J100" s="42" t="s">
        <v>78</v>
      </c>
    </row>
    <row r="101" spans="1:10" x14ac:dyDescent="0.25">
      <c r="A101" s="42" t="s">
        <v>447</v>
      </c>
      <c r="B101" s="42" t="s">
        <v>20</v>
      </c>
      <c r="C101" s="42">
        <v>8.0000000000000007E-5</v>
      </c>
      <c r="D101" s="42" t="s">
        <v>28</v>
      </c>
      <c r="E101" s="42" t="s">
        <v>45</v>
      </c>
      <c r="F101" s="42">
        <v>3.6241610738255029E-4</v>
      </c>
      <c r="G101" s="43" t="s">
        <v>28</v>
      </c>
      <c r="H101" s="42" t="s">
        <v>45</v>
      </c>
      <c r="I101" s="42"/>
      <c r="J101" s="42" t="s">
        <v>78</v>
      </c>
    </row>
    <row r="102" spans="1:10" x14ac:dyDescent="0.25">
      <c r="A102" s="42" t="s">
        <v>448</v>
      </c>
      <c r="B102" s="42" t="s">
        <v>20</v>
      </c>
      <c r="C102" s="42">
        <v>3.6000000000000002E-4</v>
      </c>
      <c r="D102" s="42" t="s">
        <v>28</v>
      </c>
      <c r="E102" s="42" t="s">
        <v>45</v>
      </c>
      <c r="F102" s="42">
        <v>1.3355704697986578E-3</v>
      </c>
      <c r="G102" s="43" t="s">
        <v>28</v>
      </c>
      <c r="H102" s="42" t="s">
        <v>45</v>
      </c>
      <c r="I102" s="42"/>
      <c r="J102" s="42" t="s">
        <v>78</v>
      </c>
    </row>
    <row r="103" spans="1:10" x14ac:dyDescent="0.25">
      <c r="A103" s="42" t="s">
        <v>449</v>
      </c>
      <c r="B103" s="42" t="s">
        <v>20</v>
      </c>
      <c r="C103" s="42">
        <v>4.0000000000000003E-5</v>
      </c>
      <c r="D103" s="42" t="s">
        <v>28</v>
      </c>
      <c r="E103" s="42" t="s">
        <v>45</v>
      </c>
      <c r="F103" s="42">
        <v>1.6107382550335572E-4</v>
      </c>
      <c r="G103" s="43" t="s">
        <v>28</v>
      </c>
      <c r="H103" s="42" t="s">
        <v>45</v>
      </c>
      <c r="I103" s="42"/>
      <c r="J103" s="42" t="s">
        <v>78</v>
      </c>
    </row>
    <row r="104" spans="1:10" x14ac:dyDescent="0.25">
      <c r="A104" s="42" t="s">
        <v>450</v>
      </c>
      <c r="B104" s="42" t="s">
        <v>20</v>
      </c>
      <c r="C104" s="42">
        <v>1.6000000000000001E-4</v>
      </c>
      <c r="D104" s="42" t="s">
        <v>28</v>
      </c>
      <c r="E104" s="42" t="s">
        <v>45</v>
      </c>
      <c r="F104" s="42">
        <v>5.7046979865771807E-4</v>
      </c>
      <c r="G104" s="43" t="s">
        <v>28</v>
      </c>
      <c r="H104" s="42" t="s">
        <v>45</v>
      </c>
      <c r="I104" s="42"/>
      <c r="J104" s="42" t="s">
        <v>78</v>
      </c>
    </row>
    <row r="105" spans="1:10" x14ac:dyDescent="0.25">
      <c r="A105" s="42" t="s">
        <v>451</v>
      </c>
      <c r="B105" s="42" t="s">
        <v>20</v>
      </c>
      <c r="C105" s="42">
        <v>2.0000000000000001E-4</v>
      </c>
      <c r="D105" s="42" t="s">
        <v>28</v>
      </c>
      <c r="E105" s="42" t="s">
        <v>45</v>
      </c>
      <c r="F105" s="42">
        <v>7.5838926174496635E-4</v>
      </c>
      <c r="G105" s="43" t="s">
        <v>28</v>
      </c>
      <c r="H105" s="42" t="s">
        <v>45</v>
      </c>
      <c r="I105" s="42"/>
      <c r="J105" s="42" t="s">
        <v>78</v>
      </c>
    </row>
    <row r="106" spans="1:10" x14ac:dyDescent="0.25">
      <c r="A106" s="42" t="s">
        <v>452</v>
      </c>
      <c r="B106" s="42" t="s">
        <v>20</v>
      </c>
      <c r="C106" s="42">
        <v>2.0000000000000001E-4</v>
      </c>
      <c r="D106" s="42" t="s">
        <v>28</v>
      </c>
      <c r="E106" s="42" t="s">
        <v>45</v>
      </c>
      <c r="F106" s="42">
        <v>7.5838926174496603E-4</v>
      </c>
      <c r="G106" s="43" t="s">
        <v>28</v>
      </c>
      <c r="H106" s="42" t="s">
        <v>45</v>
      </c>
      <c r="I106" s="42"/>
      <c r="J106" s="42" t="s">
        <v>78</v>
      </c>
    </row>
    <row r="107" spans="1:10" x14ac:dyDescent="0.25">
      <c r="A107" s="42" t="s">
        <v>453</v>
      </c>
      <c r="B107" s="42" t="s">
        <v>20</v>
      </c>
      <c r="C107" s="42">
        <v>2.4000000000000003E-4</v>
      </c>
      <c r="D107" s="42" t="s">
        <v>28</v>
      </c>
      <c r="E107" s="42" t="s">
        <v>45</v>
      </c>
      <c r="F107" s="42">
        <v>9.1275167785234896E-4</v>
      </c>
      <c r="G107" s="43" t="s">
        <v>28</v>
      </c>
      <c r="H107" s="42" t="s">
        <v>45</v>
      </c>
      <c r="I107" s="42"/>
      <c r="J107" s="42" t="s">
        <v>78</v>
      </c>
    </row>
    <row r="108" spans="1:10" x14ac:dyDescent="0.25">
      <c r="A108" s="42" t="s">
        <v>454</v>
      </c>
      <c r="B108" s="42" t="s">
        <v>20</v>
      </c>
      <c r="C108" s="42">
        <v>4.0000000000000002E-4</v>
      </c>
      <c r="D108" s="42" t="s">
        <v>28</v>
      </c>
      <c r="E108" s="42" t="s">
        <v>45</v>
      </c>
      <c r="F108" s="42">
        <v>1.466442953020134E-3</v>
      </c>
      <c r="G108" s="43" t="s">
        <v>28</v>
      </c>
      <c r="H108" s="42" t="s">
        <v>45</v>
      </c>
      <c r="I108" s="42"/>
      <c r="J108" s="42" t="s">
        <v>78</v>
      </c>
    </row>
    <row r="109" spans="1:10" x14ac:dyDescent="0.25">
      <c r="A109" s="42" t="s">
        <v>455</v>
      </c>
      <c r="B109" s="42" t="s">
        <v>20</v>
      </c>
      <c r="C109" s="42">
        <v>4.4000000000000002E-4</v>
      </c>
      <c r="D109" s="42" t="s">
        <v>28</v>
      </c>
      <c r="E109" s="42" t="s">
        <v>45</v>
      </c>
      <c r="F109" s="42">
        <v>1.6577181208053693E-3</v>
      </c>
      <c r="G109" s="43" t="s">
        <v>28</v>
      </c>
      <c r="H109" s="42" t="s">
        <v>45</v>
      </c>
      <c r="I109" s="42"/>
      <c r="J109" s="42" t="s">
        <v>78</v>
      </c>
    </row>
    <row r="110" spans="1:10" x14ac:dyDescent="0.25">
      <c r="A110" s="42" t="s">
        <v>456</v>
      </c>
      <c r="B110" s="42" t="s">
        <v>20</v>
      </c>
      <c r="C110" s="42">
        <v>2.0000000000000001E-4</v>
      </c>
      <c r="D110" s="42" t="s">
        <v>28</v>
      </c>
      <c r="E110" s="42" t="s">
        <v>45</v>
      </c>
      <c r="F110" s="42">
        <v>7.281879194630872E-4</v>
      </c>
      <c r="G110" s="43" t="s">
        <v>28</v>
      </c>
      <c r="H110" s="42" t="s">
        <v>45</v>
      </c>
      <c r="I110" s="42"/>
      <c r="J110" s="42" t="s">
        <v>78</v>
      </c>
    </row>
    <row r="111" spans="1:10" x14ac:dyDescent="0.25">
      <c r="A111" s="42" t="s">
        <v>457</v>
      </c>
      <c r="B111" s="42" t="s">
        <v>20</v>
      </c>
      <c r="C111" s="42">
        <v>4.0000000000000002E-4</v>
      </c>
      <c r="D111" s="42" t="s">
        <v>28</v>
      </c>
      <c r="E111" s="42" t="s">
        <v>45</v>
      </c>
      <c r="F111" s="42">
        <v>1.4630872483221476E-3</v>
      </c>
      <c r="G111" s="43" t="s">
        <v>28</v>
      </c>
      <c r="H111" s="42" t="s">
        <v>45</v>
      </c>
      <c r="I111" s="42"/>
      <c r="J111" s="42" t="s">
        <v>78</v>
      </c>
    </row>
    <row r="112" spans="1:10" x14ac:dyDescent="0.25">
      <c r="A112" s="42" t="s">
        <v>458</v>
      </c>
      <c r="B112" s="42" t="s">
        <v>20</v>
      </c>
      <c r="C112" s="42">
        <v>6.8000000000000005E-4</v>
      </c>
      <c r="D112" s="42" t="s">
        <v>28</v>
      </c>
      <c r="E112" s="42" t="s">
        <v>45</v>
      </c>
      <c r="F112" s="42">
        <v>2.6308724832214761E-3</v>
      </c>
      <c r="G112" s="43" t="s">
        <v>28</v>
      </c>
      <c r="H112" s="42" t="s">
        <v>45</v>
      </c>
      <c r="I112" s="42"/>
      <c r="J112" s="42" t="s">
        <v>78</v>
      </c>
    </row>
    <row r="113" spans="1:10" x14ac:dyDescent="0.25">
      <c r="A113" s="42" t="s">
        <v>459</v>
      </c>
      <c r="B113" s="42" t="s">
        <v>20</v>
      </c>
      <c r="C113" s="42">
        <v>4.4000000000000002E-4</v>
      </c>
      <c r="D113" s="42" t="s">
        <v>28</v>
      </c>
      <c r="E113" s="42" t="s">
        <v>45</v>
      </c>
      <c r="F113" s="42">
        <v>1.7382550335570471E-3</v>
      </c>
      <c r="G113" s="43" t="s">
        <v>28</v>
      </c>
      <c r="H113" s="42" t="s">
        <v>45</v>
      </c>
      <c r="I113" s="42"/>
      <c r="J113" s="42" t="s">
        <v>78</v>
      </c>
    </row>
    <row r="114" spans="1:10" x14ac:dyDescent="0.25">
      <c r="A114" s="42" t="s">
        <v>460</v>
      </c>
      <c r="B114" s="42" t="s">
        <v>20</v>
      </c>
      <c r="C114" s="42">
        <v>4.4399999999999995E-3</v>
      </c>
      <c r="D114" s="42" t="s">
        <v>28</v>
      </c>
      <c r="E114" s="42" t="s">
        <v>45</v>
      </c>
      <c r="F114" s="42">
        <v>1.6976510067114096E-2</v>
      </c>
      <c r="G114" s="43" t="s">
        <v>28</v>
      </c>
      <c r="H114" s="42" t="s">
        <v>45</v>
      </c>
      <c r="I114" s="42"/>
      <c r="J114" s="42" t="s">
        <v>78</v>
      </c>
    </row>
    <row r="115" spans="1:10" x14ac:dyDescent="0.25">
      <c r="A115" s="42" t="s">
        <v>410</v>
      </c>
      <c r="B115" s="42" t="s">
        <v>14</v>
      </c>
      <c r="C115" s="42">
        <v>1.5E-3</v>
      </c>
      <c r="D115" s="42" t="s">
        <v>28</v>
      </c>
      <c r="E115" s="42" t="s">
        <v>91</v>
      </c>
      <c r="F115" s="42">
        <v>4.7000000000000002E-3</v>
      </c>
      <c r="G115" s="43" t="s">
        <v>28</v>
      </c>
      <c r="H115" s="42" t="s">
        <v>91</v>
      </c>
      <c r="I115" s="42"/>
      <c r="J115" s="42" t="s">
        <v>77</v>
      </c>
    </row>
    <row r="116" spans="1:10" x14ac:dyDescent="0.25">
      <c r="A116" s="42" t="s">
        <v>409</v>
      </c>
      <c r="B116" s="42" t="s">
        <v>14</v>
      </c>
      <c r="C116" s="42">
        <v>1.5E-3</v>
      </c>
      <c r="D116" s="42" t="s">
        <v>28</v>
      </c>
      <c r="E116" s="42" t="s">
        <v>91</v>
      </c>
      <c r="F116" s="42">
        <v>4.7000000000000002E-3</v>
      </c>
      <c r="G116" s="43" t="s">
        <v>28</v>
      </c>
      <c r="H116" s="42" t="s">
        <v>91</v>
      </c>
      <c r="I116" s="42"/>
      <c r="J116" s="42" t="s">
        <v>77</v>
      </c>
    </row>
    <row r="117" spans="1:10" x14ac:dyDescent="0.25">
      <c r="A117" s="42" t="s">
        <v>5</v>
      </c>
      <c r="B117" s="42" t="s">
        <v>14</v>
      </c>
      <c r="C117" s="42">
        <v>1.6999999999999999E-3</v>
      </c>
      <c r="D117" s="42" t="s">
        <v>28</v>
      </c>
      <c r="E117" s="42" t="s">
        <v>91</v>
      </c>
      <c r="F117" s="42">
        <v>5.0000000000000001E-4</v>
      </c>
      <c r="G117" s="43" t="s">
        <v>28</v>
      </c>
      <c r="H117" s="42" t="s">
        <v>91</v>
      </c>
      <c r="I117" s="42"/>
      <c r="J117" s="42" t="s">
        <v>5</v>
      </c>
    </row>
    <row r="118" spans="1:10" x14ac:dyDescent="0.25">
      <c r="A118" s="42" t="s">
        <v>46</v>
      </c>
      <c r="B118" s="42" t="s">
        <v>14</v>
      </c>
      <c r="C118" s="42">
        <v>3.2599999999999997E-2</v>
      </c>
      <c r="D118" s="42" t="s">
        <v>28</v>
      </c>
      <c r="E118" s="42" t="s">
        <v>91</v>
      </c>
      <c r="F118" s="42">
        <v>2.0999999999999999E-3</v>
      </c>
      <c r="G118" s="43" t="s">
        <v>28</v>
      </c>
      <c r="H118" s="42" t="s">
        <v>91</v>
      </c>
      <c r="I118" s="42"/>
      <c r="J118" s="42" t="s">
        <v>78</v>
      </c>
    </row>
    <row r="119" spans="1:10" x14ac:dyDescent="0.25">
      <c r="A119" s="42" t="s">
        <v>6</v>
      </c>
      <c r="B119" s="42" t="s">
        <v>14</v>
      </c>
      <c r="C119" s="42">
        <v>0</v>
      </c>
      <c r="D119" s="42" t="s">
        <v>28</v>
      </c>
      <c r="E119" s="42" t="s">
        <v>91</v>
      </c>
      <c r="F119" s="42">
        <v>2.7900000000000001E-2</v>
      </c>
      <c r="G119" s="43" t="s">
        <v>28</v>
      </c>
      <c r="H119" s="42" t="s">
        <v>91</v>
      </c>
      <c r="I119" s="42"/>
      <c r="J119" s="42" t="s">
        <v>6</v>
      </c>
    </row>
    <row r="120" spans="1:10" x14ac:dyDescent="0.25">
      <c r="A120" s="42" t="s">
        <v>410</v>
      </c>
      <c r="B120" s="42" t="s">
        <v>14</v>
      </c>
      <c r="C120" s="42">
        <v>1.0999999999999999E-2</v>
      </c>
      <c r="D120" s="42" t="s">
        <v>28</v>
      </c>
      <c r="E120" s="42" t="s">
        <v>461</v>
      </c>
      <c r="F120" s="42">
        <v>3.5000000000000003E-2</v>
      </c>
      <c r="G120" s="43" t="s">
        <v>28</v>
      </c>
      <c r="H120" s="42" t="s">
        <v>461</v>
      </c>
      <c r="I120" s="42"/>
      <c r="J120" s="42" t="s">
        <v>77</v>
      </c>
    </row>
    <row r="121" spans="1:10" x14ac:dyDescent="0.25">
      <c r="A121" s="42" t="s">
        <v>409</v>
      </c>
      <c r="B121" s="42" t="s">
        <v>14</v>
      </c>
      <c r="C121" s="42">
        <v>1.0999999999999999E-2</v>
      </c>
      <c r="D121" s="42" t="s">
        <v>28</v>
      </c>
      <c r="E121" s="42" t="s">
        <v>461</v>
      </c>
      <c r="F121" s="42">
        <v>3.5000000000000003E-2</v>
      </c>
      <c r="G121" s="43" t="s">
        <v>28</v>
      </c>
      <c r="H121" s="42" t="s">
        <v>461</v>
      </c>
      <c r="I121" s="42"/>
      <c r="J121" s="42" t="s">
        <v>77</v>
      </c>
    </row>
    <row r="122" spans="1:10" x14ac:dyDescent="0.25">
      <c r="A122" s="42" t="s">
        <v>225</v>
      </c>
      <c r="B122" s="42" t="s">
        <v>14</v>
      </c>
      <c r="C122" s="42">
        <v>5.0000000000000001E-3</v>
      </c>
      <c r="D122" s="42" t="s">
        <v>28</v>
      </c>
      <c r="E122" s="42" t="s">
        <v>461</v>
      </c>
      <c r="F122" s="42">
        <v>3.0000000000000001E-3</v>
      </c>
      <c r="G122" s="43" t="s">
        <v>28</v>
      </c>
      <c r="H122" s="42" t="s">
        <v>461</v>
      </c>
      <c r="I122" s="42"/>
      <c r="J122" s="42" t="s">
        <v>77</v>
      </c>
    </row>
    <row r="123" spans="1:10" x14ac:dyDescent="0.25">
      <c r="A123" s="42" t="s">
        <v>411</v>
      </c>
      <c r="B123" s="42" t="s">
        <v>14</v>
      </c>
      <c r="C123" s="42">
        <v>2.5999999999999999E-2</v>
      </c>
      <c r="D123" s="42" t="s">
        <v>28</v>
      </c>
      <c r="E123" s="42" t="s">
        <v>461</v>
      </c>
      <c r="F123" s="42">
        <v>2.3E-2</v>
      </c>
      <c r="G123" s="43" t="s">
        <v>28</v>
      </c>
      <c r="H123" s="42" t="s">
        <v>461</v>
      </c>
      <c r="I123" s="42"/>
      <c r="J123" s="42" t="s">
        <v>77</v>
      </c>
    </row>
  </sheetData>
  <phoneticPr fontId="1" type="noConversion"/>
  <pageMargins left="0.7" right="0.7" top="0.75" bottom="0.75" header="0.3" footer="0.3"/>
  <pageSetup orientation="portrait" horizontalDpi="0" verticalDpi="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5" tint="0.79998168889431442"/>
  </sheetPr>
  <dimension ref="A1:N36"/>
  <sheetViews>
    <sheetView workbookViewId="0"/>
  </sheetViews>
  <sheetFormatPr defaultRowHeight="13.2" x14ac:dyDescent="0.25"/>
  <cols>
    <col min="1" max="1" width="43.44140625" customWidth="1"/>
    <col min="2" max="2" width="7.88671875" bestFit="1" customWidth="1"/>
    <col min="3" max="3" width="9" bestFit="1" customWidth="1"/>
    <col min="4" max="4" width="19.109375" bestFit="1" customWidth="1"/>
    <col min="5" max="5" width="20.6640625" bestFit="1" customWidth="1"/>
    <col min="6" max="6" width="23" bestFit="1" customWidth="1"/>
    <col min="7" max="7" width="7" bestFit="1" customWidth="1"/>
    <col min="8" max="8" width="20.5546875" bestFit="1" customWidth="1"/>
    <col min="9" max="9" width="22.88671875" bestFit="1" customWidth="1"/>
    <col min="10" max="10" width="13.6640625" customWidth="1"/>
    <col min="11" max="11" width="22.5546875" customWidth="1"/>
    <col min="12" max="12" width="21.88671875" customWidth="1"/>
    <col min="13" max="13" width="14" bestFit="1" customWidth="1"/>
    <col min="14" max="14" width="18.109375" bestFit="1" customWidth="1"/>
  </cols>
  <sheetData>
    <row r="1" spans="1:14" x14ac:dyDescent="0.25">
      <c r="A1" s="2" t="s">
        <v>48</v>
      </c>
      <c r="B1" s="3"/>
      <c r="C1" s="3"/>
      <c r="D1" s="3"/>
      <c r="E1" s="3"/>
      <c r="F1" s="3"/>
      <c r="G1" s="3"/>
      <c r="H1" s="3"/>
      <c r="I1" s="3"/>
      <c r="J1" s="3"/>
      <c r="K1" s="3"/>
      <c r="L1" s="3"/>
      <c r="M1" s="3"/>
      <c r="N1" s="3"/>
    </row>
    <row r="2" spans="1:14" x14ac:dyDescent="0.25">
      <c r="A2" s="4"/>
    </row>
    <row r="3" spans="1:14" x14ac:dyDescent="0.25">
      <c r="A3" s="41" t="s">
        <v>49</v>
      </c>
      <c r="B3" s="41" t="s">
        <v>7</v>
      </c>
      <c r="C3" s="41" t="s">
        <v>1</v>
      </c>
      <c r="D3" s="41" t="s">
        <v>8</v>
      </c>
      <c r="E3" s="41" t="s">
        <v>9</v>
      </c>
      <c r="F3" s="41" t="s">
        <v>10</v>
      </c>
      <c r="G3" s="41" t="s">
        <v>2</v>
      </c>
      <c r="H3" s="41" t="s">
        <v>23</v>
      </c>
      <c r="I3" s="41" t="s">
        <v>24</v>
      </c>
      <c r="J3" s="41" t="s">
        <v>3</v>
      </c>
      <c r="K3" s="41" t="s">
        <v>25</v>
      </c>
      <c r="L3" s="41" t="s">
        <v>26</v>
      </c>
      <c r="M3" s="41" t="s">
        <v>11</v>
      </c>
      <c r="N3" s="41" t="s">
        <v>13</v>
      </c>
    </row>
    <row r="4" spans="1:14" x14ac:dyDescent="0.25">
      <c r="A4" s="42" t="s">
        <v>465</v>
      </c>
      <c r="B4" s="42" t="s">
        <v>20</v>
      </c>
      <c r="C4" s="42">
        <v>0.12870999999999999</v>
      </c>
      <c r="D4" s="43" t="s">
        <v>534</v>
      </c>
      <c r="E4" s="42" t="s">
        <v>15</v>
      </c>
      <c r="F4" s="42" t="s">
        <v>55</v>
      </c>
      <c r="G4" s="42">
        <v>4.0000000000000001E-3</v>
      </c>
      <c r="H4" s="42" t="s">
        <v>28</v>
      </c>
      <c r="I4" s="42" t="s">
        <v>55</v>
      </c>
      <c r="J4" s="42">
        <v>4.0939597315436237E-3</v>
      </c>
      <c r="K4" s="42" t="s">
        <v>28</v>
      </c>
      <c r="L4" s="42" t="s">
        <v>55</v>
      </c>
      <c r="M4" s="42" t="s">
        <v>52</v>
      </c>
      <c r="N4" s="42" t="s">
        <v>105</v>
      </c>
    </row>
    <row r="5" spans="1:14" x14ac:dyDescent="0.25">
      <c r="A5" s="42" t="s">
        <v>466</v>
      </c>
      <c r="B5" s="42" t="s">
        <v>20</v>
      </c>
      <c r="C5" s="42">
        <v>8.0399999999999999E-2</v>
      </c>
      <c r="D5" s="43" t="s">
        <v>534</v>
      </c>
      <c r="E5" s="42" t="s">
        <v>15</v>
      </c>
      <c r="F5" s="42" t="s">
        <v>55</v>
      </c>
      <c r="G5" s="42">
        <v>4.0000000000000002E-4</v>
      </c>
      <c r="H5" s="42" t="s">
        <v>28</v>
      </c>
      <c r="I5" s="42" t="s">
        <v>55</v>
      </c>
      <c r="J5" s="42">
        <v>2.5503355704697989E-3</v>
      </c>
      <c r="K5" s="42" t="s">
        <v>28</v>
      </c>
      <c r="L5" s="42" t="s">
        <v>55</v>
      </c>
      <c r="M5" s="42" t="s">
        <v>52</v>
      </c>
      <c r="N5" s="42" t="s">
        <v>105</v>
      </c>
    </row>
    <row r="6" spans="1:14" x14ac:dyDescent="0.25">
      <c r="A6" s="42" t="s">
        <v>467</v>
      </c>
      <c r="B6" s="42" t="s">
        <v>20</v>
      </c>
      <c r="C6" s="42">
        <v>7.9079999999999998E-2</v>
      </c>
      <c r="D6" s="43" t="s">
        <v>534</v>
      </c>
      <c r="E6" s="42" t="s">
        <v>15</v>
      </c>
      <c r="F6" s="42" t="s">
        <v>55</v>
      </c>
      <c r="G6" s="42">
        <v>4.0000000000000002E-4</v>
      </c>
      <c r="H6" s="42" t="s">
        <v>28</v>
      </c>
      <c r="I6" s="42" t="s">
        <v>55</v>
      </c>
      <c r="J6" s="42">
        <v>2.5167785234899332E-3</v>
      </c>
      <c r="K6" s="42" t="s">
        <v>28</v>
      </c>
      <c r="L6" s="42" t="s">
        <v>55</v>
      </c>
      <c r="M6" s="42" t="s">
        <v>52</v>
      </c>
      <c r="N6" s="42" t="s">
        <v>105</v>
      </c>
    </row>
    <row r="7" spans="1:14" x14ac:dyDescent="0.25">
      <c r="A7" s="42" t="s">
        <v>468</v>
      </c>
      <c r="B7" s="42" t="s">
        <v>20</v>
      </c>
      <c r="C7" s="42">
        <v>0.11863</v>
      </c>
      <c r="D7" s="43" t="s">
        <v>534</v>
      </c>
      <c r="E7" s="42" t="s">
        <v>15</v>
      </c>
      <c r="F7" s="42" t="s">
        <v>55</v>
      </c>
      <c r="G7" s="42">
        <v>4.0000000000000002E-4</v>
      </c>
      <c r="H7" s="42" t="s">
        <v>28</v>
      </c>
      <c r="I7" s="42" t="s">
        <v>55</v>
      </c>
      <c r="J7" s="42">
        <v>3.758389261744966E-3</v>
      </c>
      <c r="K7" s="42" t="s">
        <v>28</v>
      </c>
      <c r="L7" s="42" t="s">
        <v>55</v>
      </c>
      <c r="M7" s="42" t="s">
        <v>52</v>
      </c>
      <c r="N7" s="42" t="s">
        <v>105</v>
      </c>
    </row>
    <row r="8" spans="1:14" x14ac:dyDescent="0.25">
      <c r="A8" s="42" t="s">
        <v>469</v>
      </c>
      <c r="B8" s="42" t="s">
        <v>20</v>
      </c>
      <c r="C8" s="42">
        <v>0.10111000000000001</v>
      </c>
      <c r="D8" s="43" t="s">
        <v>534</v>
      </c>
      <c r="E8" s="42" t="s">
        <v>15</v>
      </c>
      <c r="F8" s="42" t="s">
        <v>55</v>
      </c>
      <c r="G8" s="42">
        <v>4.0000000000000002E-4</v>
      </c>
      <c r="H8" s="42" t="s">
        <v>28</v>
      </c>
      <c r="I8" s="42" t="s">
        <v>55</v>
      </c>
      <c r="J8" s="42">
        <v>3.2214765100671144E-3</v>
      </c>
      <c r="K8" s="42" t="s">
        <v>28</v>
      </c>
      <c r="L8" s="42" t="s">
        <v>55</v>
      </c>
      <c r="M8" s="42" t="s">
        <v>52</v>
      </c>
      <c r="N8" s="42" t="s">
        <v>105</v>
      </c>
    </row>
    <row r="9" spans="1:14" x14ac:dyDescent="0.25">
      <c r="A9" s="42" t="s">
        <v>470</v>
      </c>
      <c r="B9" s="42" t="s">
        <v>20</v>
      </c>
      <c r="C9" s="42">
        <v>7.7439999999999995E-2</v>
      </c>
      <c r="D9" s="43" t="s">
        <v>534</v>
      </c>
      <c r="E9" s="42" t="s">
        <v>15</v>
      </c>
      <c r="F9" s="42" t="s">
        <v>55</v>
      </c>
      <c r="G9" s="42">
        <v>4.0000000000000002E-4</v>
      </c>
      <c r="H9" s="42" t="s">
        <v>28</v>
      </c>
      <c r="I9" s="42" t="s">
        <v>55</v>
      </c>
      <c r="J9" s="42">
        <v>2.4496644295302012E-3</v>
      </c>
      <c r="K9" s="42" t="s">
        <v>28</v>
      </c>
      <c r="L9" s="42" t="s">
        <v>55</v>
      </c>
      <c r="M9" s="42" t="s">
        <v>52</v>
      </c>
      <c r="N9" s="42" t="s">
        <v>105</v>
      </c>
    </row>
    <row r="10" spans="1:14" x14ac:dyDescent="0.25">
      <c r="A10" s="42" t="s">
        <v>471</v>
      </c>
      <c r="B10" s="42" t="s">
        <v>20</v>
      </c>
      <c r="C10" s="42">
        <v>0.1239</v>
      </c>
      <c r="D10" s="43" t="s">
        <v>534</v>
      </c>
      <c r="E10" s="42" t="s">
        <v>15</v>
      </c>
      <c r="F10" s="42" t="s">
        <v>55</v>
      </c>
      <c r="G10" s="42">
        <v>4.0000000000000002E-4</v>
      </c>
      <c r="H10" s="42" t="s">
        <v>28</v>
      </c>
      <c r="I10" s="42" t="s">
        <v>55</v>
      </c>
      <c r="J10" s="42">
        <v>3.9261744966442953E-3</v>
      </c>
      <c r="K10" s="42" t="s">
        <v>28</v>
      </c>
      <c r="L10" s="42" t="s">
        <v>55</v>
      </c>
      <c r="M10" s="42" t="s">
        <v>52</v>
      </c>
      <c r="N10" s="42" t="s">
        <v>105</v>
      </c>
    </row>
    <row r="11" spans="1:14" x14ac:dyDescent="0.25">
      <c r="A11" s="42" t="s">
        <v>472</v>
      </c>
      <c r="B11" s="42" t="s">
        <v>20</v>
      </c>
      <c r="C11" s="42">
        <v>0.22456999999999999</v>
      </c>
      <c r="D11" s="43" t="s">
        <v>534</v>
      </c>
      <c r="E11" s="42" t="s">
        <v>15</v>
      </c>
      <c r="F11" s="42" t="s">
        <v>55</v>
      </c>
      <c r="G11" s="42">
        <v>8.0000000000000004E-4</v>
      </c>
      <c r="H11" s="42" t="s">
        <v>28</v>
      </c>
      <c r="I11" s="42" t="s">
        <v>55</v>
      </c>
      <c r="J11" s="42">
        <v>7.1140939597315435E-3</v>
      </c>
      <c r="K11" s="42" t="s">
        <v>28</v>
      </c>
      <c r="L11" s="42" t="s">
        <v>55</v>
      </c>
      <c r="M11" s="42" t="s">
        <v>52</v>
      </c>
      <c r="N11" s="42" t="s">
        <v>105</v>
      </c>
    </row>
    <row r="12" spans="1:14" x14ac:dyDescent="0.25">
      <c r="A12" s="42" t="s">
        <v>473</v>
      </c>
      <c r="B12" s="42" t="s">
        <v>20</v>
      </c>
      <c r="C12" s="42">
        <v>0.30975000000000003</v>
      </c>
      <c r="D12" s="43" t="s">
        <v>534</v>
      </c>
      <c r="E12" s="42" t="s">
        <v>15</v>
      </c>
      <c r="F12" s="42" t="s">
        <v>55</v>
      </c>
      <c r="G12" s="42">
        <v>8.0000000000000004E-4</v>
      </c>
      <c r="H12" s="42" t="s">
        <v>28</v>
      </c>
      <c r="I12" s="42" t="s">
        <v>55</v>
      </c>
      <c r="J12" s="42">
        <v>9.8322147651006709E-3</v>
      </c>
      <c r="K12" s="42" t="s">
        <v>28</v>
      </c>
      <c r="L12" s="42" t="s">
        <v>55</v>
      </c>
      <c r="M12" s="42" t="s">
        <v>52</v>
      </c>
      <c r="N12" s="42" t="s">
        <v>105</v>
      </c>
    </row>
    <row r="13" spans="1:14" x14ac:dyDescent="0.25">
      <c r="A13" s="42" t="s">
        <v>474</v>
      </c>
      <c r="B13" s="42" t="s">
        <v>20</v>
      </c>
      <c r="C13" s="42">
        <v>9.6159999999999995E-2</v>
      </c>
      <c r="D13" s="43" t="s">
        <v>534</v>
      </c>
      <c r="E13" s="42" t="s">
        <v>15</v>
      </c>
      <c r="F13" s="42" t="s">
        <v>55</v>
      </c>
      <c r="G13" s="42">
        <v>4.0000000000000002E-4</v>
      </c>
      <c r="H13" s="42" t="s">
        <v>28</v>
      </c>
      <c r="I13" s="42" t="s">
        <v>55</v>
      </c>
      <c r="J13" s="42">
        <v>3.0536912751677851E-3</v>
      </c>
      <c r="K13" s="42" t="s">
        <v>28</v>
      </c>
      <c r="L13" s="42" t="s">
        <v>55</v>
      </c>
      <c r="M13" s="42" t="s">
        <v>52</v>
      </c>
      <c r="N13" s="42" t="s">
        <v>105</v>
      </c>
    </row>
    <row r="14" spans="1:14" x14ac:dyDescent="0.25">
      <c r="A14" s="42" t="s">
        <v>475</v>
      </c>
      <c r="B14" s="42" t="s">
        <v>20</v>
      </c>
      <c r="C14" s="42">
        <v>7.3639999999999997E-2</v>
      </c>
      <c r="D14" s="43" t="s">
        <v>534</v>
      </c>
      <c r="E14" s="42" t="s">
        <v>15</v>
      </c>
      <c r="F14" s="42" t="s">
        <v>55</v>
      </c>
      <c r="G14" s="42">
        <v>2.0000000000000001E-4</v>
      </c>
      <c r="H14" s="42" t="s">
        <v>28</v>
      </c>
      <c r="I14" s="42" t="s">
        <v>55</v>
      </c>
      <c r="J14" s="42">
        <v>2.3489932885906038E-3</v>
      </c>
      <c r="K14" s="42" t="s">
        <v>28</v>
      </c>
      <c r="L14" s="42" t="s">
        <v>55</v>
      </c>
      <c r="M14" s="42" t="s">
        <v>52</v>
      </c>
      <c r="N14" s="42" t="s">
        <v>105</v>
      </c>
    </row>
    <row r="15" spans="1:14" x14ac:dyDescent="0.25">
      <c r="A15" s="42" t="s">
        <v>476</v>
      </c>
      <c r="B15" s="42" t="s">
        <v>20</v>
      </c>
      <c r="C15" s="42">
        <v>0.11783</v>
      </c>
      <c r="D15" s="43" t="s">
        <v>534</v>
      </c>
      <c r="E15" s="42" t="s">
        <v>15</v>
      </c>
      <c r="F15" s="42" t="s">
        <v>55</v>
      </c>
      <c r="G15" s="42">
        <v>4.0000000000000002E-4</v>
      </c>
      <c r="H15" s="42" t="s">
        <v>28</v>
      </c>
      <c r="I15" s="42" t="s">
        <v>55</v>
      </c>
      <c r="J15" s="42">
        <v>3.7248322147651006E-3</v>
      </c>
      <c r="K15" s="42" t="s">
        <v>28</v>
      </c>
      <c r="L15" s="42" t="s">
        <v>55</v>
      </c>
      <c r="M15" s="42" t="s">
        <v>52</v>
      </c>
      <c r="N15" s="42" t="s">
        <v>105</v>
      </c>
    </row>
    <row r="16" spans="1:14" x14ac:dyDescent="0.25">
      <c r="A16" s="42" t="s">
        <v>477</v>
      </c>
      <c r="B16" s="42" t="s">
        <v>20</v>
      </c>
      <c r="C16" s="42">
        <v>0.21357000000000001</v>
      </c>
      <c r="D16" s="43" t="s">
        <v>534</v>
      </c>
      <c r="E16" s="42" t="s">
        <v>15</v>
      </c>
      <c r="F16" s="42" t="s">
        <v>55</v>
      </c>
      <c r="G16" s="42">
        <v>4.0000000000000002E-4</v>
      </c>
      <c r="H16" s="42" t="s">
        <v>28</v>
      </c>
      <c r="I16" s="42" t="s">
        <v>55</v>
      </c>
      <c r="J16" s="42">
        <v>6.7785234899328858E-3</v>
      </c>
      <c r="K16" s="42" t="s">
        <v>28</v>
      </c>
      <c r="L16" s="42" t="s">
        <v>55</v>
      </c>
      <c r="M16" s="42" t="s">
        <v>52</v>
      </c>
      <c r="N16" s="42" t="s">
        <v>105</v>
      </c>
    </row>
    <row r="17" spans="1:14" x14ac:dyDescent="0.25">
      <c r="A17" s="42" t="s">
        <v>478</v>
      </c>
      <c r="B17" s="42" t="s">
        <v>20</v>
      </c>
      <c r="C17" s="42">
        <v>0.29458000000000001</v>
      </c>
      <c r="D17" s="43" t="s">
        <v>534</v>
      </c>
      <c r="E17" s="42" t="s">
        <v>15</v>
      </c>
      <c r="F17" s="42" t="s">
        <v>55</v>
      </c>
      <c r="G17" s="42">
        <v>8.0000000000000004E-4</v>
      </c>
      <c r="H17" s="42" t="s">
        <v>28</v>
      </c>
      <c r="I17" s="42" t="s">
        <v>55</v>
      </c>
      <c r="J17" s="42">
        <v>9.3624161073825509E-3</v>
      </c>
      <c r="K17" s="42" t="s">
        <v>28</v>
      </c>
      <c r="L17" s="42" t="s">
        <v>55</v>
      </c>
      <c r="M17" s="42" t="s">
        <v>52</v>
      </c>
      <c r="N17" s="42" t="s">
        <v>105</v>
      </c>
    </row>
    <row r="18" spans="1:14" x14ac:dyDescent="0.25">
      <c r="A18" s="42" t="s">
        <v>479</v>
      </c>
      <c r="B18" s="42" t="s">
        <v>20</v>
      </c>
      <c r="C18" s="42">
        <v>2.8320000000000001E-2</v>
      </c>
      <c r="D18" s="43" t="s">
        <v>534</v>
      </c>
      <c r="E18" s="42" t="s">
        <v>15</v>
      </c>
      <c r="F18" s="42" t="s">
        <v>55</v>
      </c>
      <c r="G18" s="42">
        <v>4.4000000000000003E-3</v>
      </c>
      <c r="H18" s="42" t="s">
        <v>28</v>
      </c>
      <c r="I18" s="42" t="s">
        <v>55</v>
      </c>
      <c r="J18" s="42">
        <v>6.0402684563758396E-4</v>
      </c>
      <c r="K18" s="42" t="s">
        <v>28</v>
      </c>
      <c r="L18" s="42" t="s">
        <v>55</v>
      </c>
      <c r="M18" s="42" t="s">
        <v>52</v>
      </c>
      <c r="N18" s="42" t="s">
        <v>5</v>
      </c>
    </row>
    <row r="19" spans="1:14" x14ac:dyDescent="0.25">
      <c r="A19" s="42" t="s">
        <v>480</v>
      </c>
      <c r="B19" s="42" t="s">
        <v>20</v>
      </c>
      <c r="C19" s="42">
        <v>3.5099999999999999E-2</v>
      </c>
      <c r="D19" s="43" t="s">
        <v>534</v>
      </c>
      <c r="E19" s="42" t="s">
        <v>15</v>
      </c>
      <c r="F19" s="42" t="s">
        <v>55</v>
      </c>
      <c r="G19" s="42">
        <v>2.8E-3</v>
      </c>
      <c r="H19" s="42" t="s">
        <v>28</v>
      </c>
      <c r="I19" s="42" t="s">
        <v>55</v>
      </c>
      <c r="J19" s="42">
        <v>1.0738255033557048E-3</v>
      </c>
      <c r="K19" s="42" t="s">
        <v>28</v>
      </c>
      <c r="L19" s="42" t="s">
        <v>55</v>
      </c>
      <c r="M19" s="42" t="s">
        <v>52</v>
      </c>
      <c r="N19" s="42" t="s">
        <v>5</v>
      </c>
    </row>
    <row r="20" spans="1:14" x14ac:dyDescent="0.25">
      <c r="A20" s="42" t="s">
        <v>50</v>
      </c>
      <c r="B20" s="42" t="s">
        <v>20</v>
      </c>
      <c r="C20" s="42">
        <v>0.14742</v>
      </c>
      <c r="D20" s="43" t="s">
        <v>534</v>
      </c>
      <c r="E20" s="42" t="s">
        <v>15</v>
      </c>
      <c r="F20" s="42" t="s">
        <v>55</v>
      </c>
      <c r="G20" s="42">
        <v>1.1840000000000002E-4</v>
      </c>
      <c r="H20" s="42" t="s">
        <v>28</v>
      </c>
      <c r="I20" s="42" t="s">
        <v>55</v>
      </c>
      <c r="J20" s="42">
        <v>4.4966442953020139E-3</v>
      </c>
      <c r="K20" s="42" t="s">
        <v>28</v>
      </c>
      <c r="L20" s="42" t="s">
        <v>55</v>
      </c>
      <c r="M20" s="42" t="s">
        <v>52</v>
      </c>
      <c r="N20" s="42" t="s">
        <v>77</v>
      </c>
    </row>
    <row r="21" spans="1:14" x14ac:dyDescent="0.25">
      <c r="A21" s="42" t="s">
        <v>53</v>
      </c>
      <c r="B21" s="42" t="s">
        <v>20</v>
      </c>
      <c r="C21" s="42">
        <v>0.11745999999999999</v>
      </c>
      <c r="D21" s="43" t="s">
        <v>534</v>
      </c>
      <c r="E21" s="42" t="s">
        <v>15</v>
      </c>
      <c r="F21" s="42" t="s">
        <v>55</v>
      </c>
      <c r="G21" s="42">
        <v>8.0000000000000004E-4</v>
      </c>
      <c r="H21" s="42" t="s">
        <v>28</v>
      </c>
      <c r="I21" s="42" t="s">
        <v>55</v>
      </c>
      <c r="J21" s="42">
        <v>3.3221476510067113E-3</v>
      </c>
      <c r="K21" s="42" t="s">
        <v>28</v>
      </c>
      <c r="L21" s="42" t="s">
        <v>55</v>
      </c>
      <c r="M21" s="42" t="s">
        <v>52</v>
      </c>
      <c r="N21" s="42" t="s">
        <v>77</v>
      </c>
    </row>
    <row r="22" spans="1:14" x14ac:dyDescent="0.25">
      <c r="A22" s="42" t="s">
        <v>54</v>
      </c>
      <c r="B22" s="42" t="s">
        <v>20</v>
      </c>
      <c r="C22" s="42">
        <v>2.6689999999999998E-2</v>
      </c>
      <c r="D22" s="43" t="s">
        <v>534</v>
      </c>
      <c r="E22" s="42" t="s">
        <v>15</v>
      </c>
      <c r="F22" s="42" t="s">
        <v>55</v>
      </c>
      <c r="G22" s="42">
        <v>4.0000000000000002E-4</v>
      </c>
      <c r="H22" s="42" t="s">
        <v>28</v>
      </c>
      <c r="I22" s="42" t="s">
        <v>55</v>
      </c>
      <c r="J22" s="42">
        <v>1.8120805369127517E-3</v>
      </c>
      <c r="K22" s="42" t="s">
        <v>28</v>
      </c>
      <c r="L22" s="42" t="s">
        <v>55</v>
      </c>
      <c r="M22" s="42" t="s">
        <v>52</v>
      </c>
      <c r="N22" s="42" t="s">
        <v>77</v>
      </c>
    </row>
    <row r="23" spans="1:14" x14ac:dyDescent="0.25">
      <c r="A23" s="42" t="s">
        <v>481</v>
      </c>
      <c r="B23" s="42" t="s">
        <v>20</v>
      </c>
      <c r="C23" s="42">
        <v>0.10141</v>
      </c>
      <c r="D23" s="43" t="s">
        <v>534</v>
      </c>
      <c r="E23" s="42" t="s">
        <v>15</v>
      </c>
      <c r="F23" s="42" t="s">
        <v>55</v>
      </c>
      <c r="G23" s="42">
        <v>4.0000000000000002E-4</v>
      </c>
      <c r="H23" s="42" t="s">
        <v>28</v>
      </c>
      <c r="I23" s="42" t="s">
        <v>55</v>
      </c>
      <c r="J23" s="42">
        <v>2.7516778523489932E-3</v>
      </c>
      <c r="K23" s="42" t="s">
        <v>28</v>
      </c>
      <c r="L23" s="42" t="s">
        <v>55</v>
      </c>
      <c r="M23" s="42" t="s">
        <v>52</v>
      </c>
      <c r="N23" s="42" t="s">
        <v>77</v>
      </c>
    </row>
    <row r="24" spans="1:14" x14ac:dyDescent="0.25">
      <c r="A24" s="42" t="s">
        <v>462</v>
      </c>
      <c r="B24" s="42" t="s">
        <v>20</v>
      </c>
      <c r="C24" s="42">
        <v>0.111313</v>
      </c>
      <c r="D24" s="43" t="s">
        <v>534</v>
      </c>
      <c r="E24" s="42" t="s">
        <v>15</v>
      </c>
      <c r="F24" s="42" t="s">
        <v>55</v>
      </c>
      <c r="G24" s="42">
        <v>1.3200000000000002E-3</v>
      </c>
      <c r="H24" s="42" t="s">
        <v>28</v>
      </c>
      <c r="I24" s="42" t="s">
        <v>55</v>
      </c>
      <c r="J24" s="42">
        <v>5.0872483221476505E-3</v>
      </c>
      <c r="K24" s="42" t="s">
        <v>28</v>
      </c>
      <c r="L24" s="42" t="s">
        <v>55</v>
      </c>
      <c r="M24" s="42" t="s">
        <v>52</v>
      </c>
      <c r="N24" s="42" t="s">
        <v>78</v>
      </c>
    </row>
    <row r="25" spans="1:14" x14ac:dyDescent="0.25">
      <c r="A25" s="42" t="s">
        <v>482</v>
      </c>
      <c r="B25" s="42" t="s">
        <v>14</v>
      </c>
      <c r="C25" s="42">
        <v>0.20699999999999999</v>
      </c>
      <c r="D25" s="43" t="s">
        <v>534</v>
      </c>
      <c r="E25" s="42" t="s">
        <v>15</v>
      </c>
      <c r="F25" s="42" t="s">
        <v>51</v>
      </c>
      <c r="G25" s="42">
        <v>6.4000000000000003E-3</v>
      </c>
      <c r="H25" s="42" t="s">
        <v>28</v>
      </c>
      <c r="I25" s="42" t="s">
        <v>51</v>
      </c>
      <c r="J25" s="42">
        <v>6.6E-3</v>
      </c>
      <c r="K25" s="42" t="s">
        <v>28</v>
      </c>
      <c r="L25" s="42" t="s">
        <v>51</v>
      </c>
      <c r="M25" s="42" t="s">
        <v>52</v>
      </c>
      <c r="N25" s="42" t="s">
        <v>105</v>
      </c>
    </row>
    <row r="26" spans="1:14" x14ac:dyDescent="0.25">
      <c r="A26" s="42" t="s">
        <v>483</v>
      </c>
      <c r="B26" s="42" t="s">
        <v>14</v>
      </c>
      <c r="C26" s="42">
        <v>0.129</v>
      </c>
      <c r="D26" s="43" t="s">
        <v>534</v>
      </c>
      <c r="E26" s="42" t="s">
        <v>15</v>
      </c>
      <c r="F26" s="42" t="s">
        <v>51</v>
      </c>
      <c r="G26" s="42">
        <v>5.9999999999999995E-4</v>
      </c>
      <c r="H26" s="42" t="s">
        <v>28</v>
      </c>
      <c r="I26" s="42" t="s">
        <v>51</v>
      </c>
      <c r="J26" s="42">
        <v>4.1000000000000003E-3</v>
      </c>
      <c r="K26" s="42" t="s">
        <v>28</v>
      </c>
      <c r="L26" s="42" t="s">
        <v>51</v>
      </c>
      <c r="M26" s="42" t="s">
        <v>52</v>
      </c>
      <c r="N26" s="42" t="s">
        <v>105</v>
      </c>
    </row>
    <row r="27" spans="1:14" x14ac:dyDescent="0.25">
      <c r="A27" s="42" t="s">
        <v>484</v>
      </c>
      <c r="B27" s="42" t="s">
        <v>14</v>
      </c>
      <c r="C27" s="42">
        <v>0.16300000000000001</v>
      </c>
      <c r="D27" s="43" t="s">
        <v>534</v>
      </c>
      <c r="E27" s="42" t="s">
        <v>15</v>
      </c>
      <c r="F27" s="42" t="s">
        <v>51</v>
      </c>
      <c r="G27" s="42">
        <v>5.9999999999999995E-4</v>
      </c>
      <c r="H27" s="42" t="s">
        <v>28</v>
      </c>
      <c r="I27" s="42" t="s">
        <v>51</v>
      </c>
      <c r="J27" s="42">
        <v>5.1999999999999998E-3</v>
      </c>
      <c r="K27" s="42" t="s">
        <v>28</v>
      </c>
      <c r="L27" s="42" t="s">
        <v>51</v>
      </c>
      <c r="M27" s="42" t="s">
        <v>52</v>
      </c>
      <c r="N27" s="42" t="s">
        <v>105</v>
      </c>
    </row>
    <row r="28" spans="1:14" x14ac:dyDescent="0.25">
      <c r="A28" s="42" t="s">
        <v>485</v>
      </c>
      <c r="B28" s="42" t="s">
        <v>14</v>
      </c>
      <c r="C28" s="42">
        <v>5.8000000000000003E-2</v>
      </c>
      <c r="D28" s="43" t="s">
        <v>534</v>
      </c>
      <c r="E28" s="42" t="s">
        <v>15</v>
      </c>
      <c r="F28" s="42" t="s">
        <v>51</v>
      </c>
      <c r="G28" s="42">
        <v>5.4999999999999997E-3</v>
      </c>
      <c r="H28" s="42" t="s">
        <v>28</v>
      </c>
      <c r="I28" s="42" t="s">
        <v>51</v>
      </c>
      <c r="J28" s="42">
        <v>6.9999999999999999E-4</v>
      </c>
      <c r="K28" s="42" t="s">
        <v>28</v>
      </c>
      <c r="L28" s="42" t="s">
        <v>51</v>
      </c>
      <c r="M28" s="42" t="s">
        <v>52</v>
      </c>
      <c r="N28" s="42" t="s">
        <v>5</v>
      </c>
    </row>
    <row r="29" spans="1:14" x14ac:dyDescent="0.25">
      <c r="A29" s="42" t="s">
        <v>486</v>
      </c>
      <c r="B29" s="42" t="s">
        <v>14</v>
      </c>
      <c r="C29" s="42">
        <v>0.15</v>
      </c>
      <c r="D29" s="43" t="s">
        <v>534</v>
      </c>
      <c r="E29" s="42" t="s">
        <v>15</v>
      </c>
      <c r="F29" s="42" t="s">
        <v>51</v>
      </c>
      <c r="G29" s="42">
        <v>1.17E-2</v>
      </c>
      <c r="H29" s="42" t="s">
        <v>28</v>
      </c>
      <c r="I29" s="42" t="s">
        <v>51</v>
      </c>
      <c r="J29" s="42">
        <v>3.8E-3</v>
      </c>
      <c r="K29" s="42" t="s">
        <v>28</v>
      </c>
      <c r="L29" s="42" t="s">
        <v>51</v>
      </c>
      <c r="M29" s="42" t="s">
        <v>52</v>
      </c>
      <c r="N29" s="42" t="s">
        <v>5</v>
      </c>
    </row>
    <row r="30" spans="1:14" x14ac:dyDescent="0.25">
      <c r="A30" s="42" t="s">
        <v>487</v>
      </c>
      <c r="B30" s="42" t="s">
        <v>14</v>
      </c>
      <c r="C30" s="42">
        <v>0.113</v>
      </c>
      <c r="D30" s="43" t="s">
        <v>534</v>
      </c>
      <c r="E30" s="42" t="s">
        <v>15</v>
      </c>
      <c r="F30" s="42" t="s">
        <v>51</v>
      </c>
      <c r="G30" s="42">
        <v>9.1999999999999998E-3</v>
      </c>
      <c r="H30" s="42" t="s">
        <v>28</v>
      </c>
      <c r="I30" s="42" t="s">
        <v>51</v>
      </c>
      <c r="J30" s="42">
        <v>2.5999999999999999E-3</v>
      </c>
      <c r="K30" s="42" t="s">
        <v>28</v>
      </c>
      <c r="L30" s="42" t="s">
        <v>51</v>
      </c>
      <c r="M30" s="42" t="s">
        <v>52</v>
      </c>
      <c r="N30" s="42" t="s">
        <v>5</v>
      </c>
    </row>
    <row r="31" spans="1:14" x14ac:dyDescent="0.25">
      <c r="A31" s="42" t="s">
        <v>463</v>
      </c>
      <c r="B31" s="42" t="s">
        <v>14</v>
      </c>
      <c r="C31" s="42">
        <v>0.13300000000000001</v>
      </c>
      <c r="D31" s="43" t="s">
        <v>534</v>
      </c>
      <c r="E31" s="42" t="s">
        <v>15</v>
      </c>
      <c r="F31" s="42" t="s">
        <v>51</v>
      </c>
      <c r="G31" s="42">
        <v>1.0500000000000001E-2</v>
      </c>
      <c r="H31" s="42" t="s">
        <v>28</v>
      </c>
      <c r="I31" s="42" t="s">
        <v>51</v>
      </c>
      <c r="J31" s="42">
        <v>2.5999999999999999E-3</v>
      </c>
      <c r="K31" s="42" t="s">
        <v>28</v>
      </c>
      <c r="L31" s="42" t="s">
        <v>51</v>
      </c>
      <c r="M31" s="42" t="s">
        <v>52</v>
      </c>
      <c r="N31" s="42" t="s">
        <v>5</v>
      </c>
    </row>
    <row r="32" spans="1:14" x14ac:dyDescent="0.25">
      <c r="A32" s="42" t="s">
        <v>488</v>
      </c>
      <c r="B32" s="42" t="s">
        <v>14</v>
      </c>
      <c r="C32" s="42">
        <v>9.2999999999999999E-2</v>
      </c>
      <c r="D32" s="43" t="s">
        <v>534</v>
      </c>
      <c r="E32" s="42" t="s">
        <v>15</v>
      </c>
      <c r="F32" s="42" t="s">
        <v>51</v>
      </c>
      <c r="G32" s="42">
        <v>7.4999999999999997E-3</v>
      </c>
      <c r="H32" s="42" t="s">
        <v>28</v>
      </c>
      <c r="I32" s="42" t="s">
        <v>51</v>
      </c>
      <c r="J32" s="42">
        <v>1E-3</v>
      </c>
      <c r="K32" s="42" t="s">
        <v>28</v>
      </c>
      <c r="L32" s="42" t="s">
        <v>51</v>
      </c>
      <c r="M32" s="42" t="s">
        <v>52</v>
      </c>
      <c r="N32" s="42" t="s">
        <v>5</v>
      </c>
    </row>
    <row r="33" spans="1:14" x14ac:dyDescent="0.25">
      <c r="A33" s="42" t="s">
        <v>224</v>
      </c>
      <c r="B33" s="42" t="s">
        <v>14</v>
      </c>
      <c r="C33" s="42">
        <v>7.0999999999999994E-2</v>
      </c>
      <c r="D33" s="43" t="s">
        <v>534</v>
      </c>
      <c r="E33" s="42" t="s">
        <v>15</v>
      </c>
      <c r="F33" s="42" t="s">
        <v>51</v>
      </c>
      <c r="G33" s="42">
        <v>0</v>
      </c>
      <c r="H33" s="42" t="s">
        <v>28</v>
      </c>
      <c r="I33" s="42" t="s">
        <v>51</v>
      </c>
      <c r="J33" s="42">
        <v>2.0999999999999999E-3</v>
      </c>
      <c r="K33" s="42" t="s">
        <v>28</v>
      </c>
      <c r="L33" s="42" t="s">
        <v>51</v>
      </c>
      <c r="M33" s="42" t="s">
        <v>52</v>
      </c>
      <c r="N33" s="42" t="s">
        <v>77</v>
      </c>
    </row>
    <row r="34" spans="1:14" x14ac:dyDescent="0.25">
      <c r="A34" s="42" t="s">
        <v>225</v>
      </c>
      <c r="B34" s="42" t="s">
        <v>14</v>
      </c>
      <c r="C34" s="42">
        <v>0.17499999999999999</v>
      </c>
      <c r="D34" s="43" t="s">
        <v>534</v>
      </c>
      <c r="E34" s="42" t="s">
        <v>15</v>
      </c>
      <c r="F34" s="42" t="s">
        <v>461</v>
      </c>
      <c r="G34" s="42">
        <v>5.0000000000000001E-3</v>
      </c>
      <c r="H34" s="42" t="s">
        <v>28</v>
      </c>
      <c r="I34" s="42" t="s">
        <v>461</v>
      </c>
      <c r="J34" s="42">
        <v>3.0000000000000001E-3</v>
      </c>
      <c r="K34" s="42" t="s">
        <v>28</v>
      </c>
      <c r="L34" s="42" t="s">
        <v>461</v>
      </c>
      <c r="M34" s="42" t="s">
        <v>52</v>
      </c>
      <c r="N34" s="42" t="s">
        <v>77</v>
      </c>
    </row>
    <row r="35" spans="1:14" x14ac:dyDescent="0.25">
      <c r="A35" s="42" t="s">
        <v>411</v>
      </c>
      <c r="B35" s="42" t="s">
        <v>14</v>
      </c>
      <c r="C35" s="42">
        <v>0.95499999999999996</v>
      </c>
      <c r="D35" s="43" t="s">
        <v>534</v>
      </c>
      <c r="E35" s="42" t="s">
        <v>15</v>
      </c>
      <c r="F35" s="42" t="s">
        <v>461</v>
      </c>
      <c r="G35" s="42">
        <v>2.5999999999999999E-2</v>
      </c>
      <c r="H35" s="42" t="s">
        <v>28</v>
      </c>
      <c r="I35" s="42" t="s">
        <v>461</v>
      </c>
      <c r="J35" s="42">
        <v>2.3E-2</v>
      </c>
      <c r="K35" s="42" t="s">
        <v>28</v>
      </c>
      <c r="L35" s="42" t="s">
        <v>461</v>
      </c>
      <c r="M35" s="42" t="s">
        <v>52</v>
      </c>
      <c r="N35" s="42" t="s">
        <v>77</v>
      </c>
    </row>
    <row r="36" spans="1:14" x14ac:dyDescent="0.25">
      <c r="A36" s="42" t="s">
        <v>464</v>
      </c>
      <c r="B36" s="42" t="s">
        <v>14</v>
      </c>
      <c r="C36" s="42">
        <v>0.377</v>
      </c>
      <c r="D36" s="43" t="s">
        <v>534</v>
      </c>
      <c r="E36" s="42" t="s">
        <v>15</v>
      </c>
      <c r="F36" s="42" t="s">
        <v>461</v>
      </c>
      <c r="G36" s="42">
        <v>0</v>
      </c>
      <c r="H36" s="42" t="s">
        <v>28</v>
      </c>
      <c r="I36" s="42" t="s">
        <v>461</v>
      </c>
      <c r="J36" s="42">
        <v>1.9E-2</v>
      </c>
      <c r="K36" s="42" t="s">
        <v>28</v>
      </c>
      <c r="L36" s="42" t="s">
        <v>461</v>
      </c>
      <c r="M36" s="42" t="s">
        <v>52</v>
      </c>
      <c r="N36" s="42" t="s">
        <v>77</v>
      </c>
    </row>
  </sheetData>
  <phoneticPr fontId="1" type="noConversion"/>
  <pageMargins left="0.7" right="0.7" top="0.75" bottom="0.75" header="0.3" footer="0.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tabColor rgb="FF00ACA2"/>
  </sheetPr>
  <dimension ref="A1:S25"/>
  <sheetViews>
    <sheetView showGridLines="0" showRowColHeaders="0" workbookViewId="0"/>
  </sheetViews>
  <sheetFormatPr defaultRowHeight="13.2" x14ac:dyDescent="0.25"/>
  <cols>
    <col min="1" max="1" width="7.109375" customWidth="1"/>
    <col min="2" max="2" width="10.6640625" customWidth="1"/>
    <col min="3" max="3" width="12.6640625" bestFit="1" customWidth="1"/>
    <col min="4" max="4" width="10" bestFit="1" customWidth="1"/>
    <col min="5" max="5" width="13.6640625" bestFit="1" customWidth="1"/>
    <col min="6" max="6" width="28.44140625" bestFit="1" customWidth="1"/>
    <col min="7" max="7" width="15.5546875" customWidth="1"/>
    <col min="8" max="8" width="12.33203125" customWidth="1"/>
    <col min="9" max="13" width="10.6640625" customWidth="1"/>
    <col min="16" max="16" width="12.33203125" customWidth="1"/>
  </cols>
  <sheetData>
    <row r="1" spans="1:19" ht="17.25" customHeight="1" x14ac:dyDescent="0.25"/>
    <row r="3" spans="1:19" ht="12.75" customHeight="1" x14ac:dyDescent="0.25"/>
    <row r="4" spans="1:19" s="17" customFormat="1" ht="78.75" customHeight="1" x14ac:dyDescent="0.25">
      <c r="B4" s="261" t="s">
        <v>711</v>
      </c>
      <c r="C4" s="261"/>
      <c r="D4" s="261"/>
      <c r="E4" s="261"/>
      <c r="F4" s="261"/>
      <c r="G4" s="261"/>
      <c r="H4" s="261"/>
      <c r="I4" s="261"/>
      <c r="J4" s="261"/>
      <c r="K4" s="261"/>
      <c r="L4" s="261"/>
      <c r="M4"/>
      <c r="N4"/>
      <c r="O4"/>
      <c r="P4"/>
      <c r="Q4"/>
      <c r="R4"/>
      <c r="S4"/>
    </row>
    <row r="5" spans="1:19" s="17" customFormat="1" ht="111.75" customHeight="1" x14ac:dyDescent="0.25">
      <c r="A5" s="90" t="s">
        <v>618</v>
      </c>
      <c r="B5" s="261"/>
      <c r="C5" s="261"/>
      <c r="D5" s="261"/>
      <c r="E5" s="261"/>
      <c r="F5" s="261"/>
      <c r="G5" s="261"/>
      <c r="H5" s="261"/>
      <c r="I5" s="261"/>
      <c r="J5" s="261"/>
      <c r="K5" s="261"/>
      <c r="L5" s="261"/>
      <c r="M5" s="30"/>
      <c r="N5" s="30"/>
      <c r="O5"/>
      <c r="P5" s="30"/>
    </row>
    <row r="6" spans="1:19" ht="21" customHeight="1" x14ac:dyDescent="0.25">
      <c r="A6" s="89"/>
      <c r="B6" s="265" t="s">
        <v>619</v>
      </c>
      <c r="C6" s="266"/>
      <c r="D6" s="266"/>
      <c r="E6" s="266"/>
      <c r="F6" s="266"/>
      <c r="G6" s="266"/>
      <c r="H6" s="266"/>
      <c r="I6" s="266"/>
      <c r="J6" s="267"/>
      <c r="K6" s="89"/>
      <c r="L6" s="89"/>
      <c r="M6" s="89"/>
      <c r="N6" s="89"/>
      <c r="O6" s="89"/>
    </row>
    <row r="7" spans="1:19" s="17" customFormat="1" ht="103.5" customHeight="1" x14ac:dyDescent="0.25">
      <c r="A7" s="90" t="s">
        <v>618</v>
      </c>
      <c r="B7" s="264"/>
      <c r="C7" s="264"/>
      <c r="D7" s="264"/>
      <c r="E7" s="264"/>
      <c r="F7" s="264"/>
      <c r="G7" s="264"/>
      <c r="H7" s="264"/>
      <c r="I7" s="264"/>
      <c r="J7" s="264"/>
      <c r="K7" s="264"/>
      <c r="L7" s="264"/>
      <c r="M7" s="264"/>
      <c r="N7" s="30"/>
      <c r="O7"/>
      <c r="P7"/>
    </row>
    <row r="8" spans="1:19" s="17" customFormat="1" ht="18.75" customHeight="1" x14ac:dyDescent="0.25">
      <c r="A8" s="260"/>
      <c r="B8" s="30"/>
      <c r="C8" s="30"/>
      <c r="D8" s="30"/>
      <c r="E8" s="30"/>
      <c r="F8" s="30"/>
      <c r="G8" s="30"/>
      <c r="H8" s="30"/>
      <c r="I8" s="30"/>
      <c r="J8" s="30"/>
      <c r="K8" s="30"/>
      <c r="L8" s="30"/>
      <c r="M8" s="30"/>
      <c r="N8" s="30"/>
      <c r="O8"/>
      <c r="P8"/>
    </row>
    <row r="9" spans="1:19" ht="17.399999999999999" x14ac:dyDescent="0.25">
      <c r="B9" s="37" t="s">
        <v>87</v>
      </c>
      <c r="C9" s="19"/>
      <c r="D9" s="18"/>
      <c r="E9" s="18"/>
      <c r="F9" s="18"/>
      <c r="G9" s="19"/>
      <c r="H9" s="19"/>
    </row>
    <row r="10" spans="1:19" ht="14.4" x14ac:dyDescent="0.25">
      <c r="B10" s="233" t="s">
        <v>683</v>
      </c>
      <c r="C10" s="18"/>
      <c r="D10" s="18"/>
      <c r="E10" s="28"/>
      <c r="F10" s="18"/>
      <c r="G10" s="18"/>
      <c r="H10" s="18"/>
      <c r="I10" s="4"/>
    </row>
    <row r="11" spans="1:19" x14ac:dyDescent="0.25">
      <c r="B11" s="263" t="s">
        <v>712</v>
      </c>
      <c r="C11" s="264"/>
      <c r="D11" s="264"/>
      <c r="E11" s="264"/>
      <c r="F11" s="264"/>
      <c r="G11" s="264"/>
      <c r="H11" s="264"/>
      <c r="I11" s="4"/>
    </row>
    <row r="12" spans="1:19" ht="19.5" customHeight="1" x14ac:dyDescent="0.25">
      <c r="B12" s="264"/>
      <c r="C12" s="264"/>
      <c r="D12" s="264"/>
      <c r="E12" s="264"/>
      <c r="F12" s="264"/>
      <c r="G12" s="264"/>
      <c r="H12" s="264"/>
      <c r="I12" s="4"/>
    </row>
    <row r="13" spans="1:19" x14ac:dyDescent="0.25">
      <c r="B13" s="264"/>
      <c r="C13" s="264"/>
      <c r="D13" s="264"/>
      <c r="E13" s="264"/>
      <c r="F13" s="264"/>
      <c r="G13" s="264"/>
      <c r="H13" s="264"/>
      <c r="I13" s="4"/>
    </row>
    <row r="14" spans="1:19" ht="19.5" customHeight="1" x14ac:dyDescent="0.25">
      <c r="B14" s="233" t="s">
        <v>684</v>
      </c>
      <c r="C14" s="30"/>
      <c r="D14" s="30"/>
      <c r="E14" s="30"/>
      <c r="F14" s="30"/>
      <c r="G14" s="30"/>
      <c r="H14" s="30"/>
      <c r="I14" s="4"/>
    </row>
    <row r="15" spans="1:19" x14ac:dyDescent="0.25">
      <c r="B15" s="262" t="s">
        <v>734</v>
      </c>
      <c r="C15" s="261"/>
      <c r="D15" s="261"/>
      <c r="E15" s="261"/>
      <c r="F15" s="261"/>
      <c r="G15" s="261"/>
      <c r="H15" s="261"/>
      <c r="I15" s="261"/>
    </row>
    <row r="16" spans="1:19" x14ac:dyDescent="0.25">
      <c r="B16" s="261"/>
      <c r="C16" s="261"/>
      <c r="D16" s="261"/>
      <c r="E16" s="261"/>
      <c r="F16" s="261"/>
      <c r="G16" s="261"/>
      <c r="H16" s="261"/>
      <c r="I16" s="261"/>
    </row>
    <row r="17" spans="2:9" x14ac:dyDescent="0.25">
      <c r="B17" s="261"/>
      <c r="C17" s="261"/>
      <c r="D17" s="261"/>
      <c r="E17" s="261"/>
      <c r="F17" s="261"/>
      <c r="G17" s="261"/>
      <c r="H17" s="261"/>
      <c r="I17" s="261"/>
    </row>
    <row r="18" spans="2:9" x14ac:dyDescent="0.25">
      <c r="B18" s="261"/>
      <c r="C18" s="261"/>
      <c r="D18" s="261"/>
      <c r="E18" s="261"/>
      <c r="F18" s="261"/>
      <c r="G18" s="261"/>
      <c r="H18" s="261"/>
      <c r="I18" s="261"/>
    </row>
    <row r="19" spans="2:9" x14ac:dyDescent="0.25">
      <c r="B19" s="261"/>
      <c r="C19" s="261"/>
      <c r="D19" s="261"/>
      <c r="E19" s="261"/>
      <c r="F19" s="261"/>
      <c r="G19" s="261"/>
      <c r="H19" s="261"/>
      <c r="I19" s="261"/>
    </row>
    <row r="20" spans="2:9" x14ac:dyDescent="0.25">
      <c r="B20" s="261"/>
      <c r="C20" s="261"/>
      <c r="D20" s="261"/>
      <c r="E20" s="261"/>
      <c r="F20" s="261"/>
      <c r="G20" s="261"/>
      <c r="H20" s="261"/>
      <c r="I20" s="261"/>
    </row>
    <row r="21" spans="2:9" x14ac:dyDescent="0.25">
      <c r="B21" s="261"/>
      <c r="C21" s="261"/>
      <c r="D21" s="261"/>
      <c r="E21" s="261"/>
      <c r="F21" s="261"/>
      <c r="G21" s="261"/>
      <c r="H21" s="261"/>
      <c r="I21" s="261"/>
    </row>
    <row r="22" spans="2:9" ht="17.25" customHeight="1" x14ac:dyDescent="0.25">
      <c r="B22" s="261"/>
      <c r="C22" s="261"/>
      <c r="D22" s="261"/>
      <c r="E22" s="261"/>
      <c r="F22" s="261"/>
      <c r="G22" s="261"/>
      <c r="H22" s="261"/>
      <c r="I22" s="261"/>
    </row>
    <row r="23" spans="2:9" ht="49.5" customHeight="1" x14ac:dyDescent="0.25">
      <c r="B23" s="261"/>
      <c r="C23" s="261"/>
      <c r="D23" s="261"/>
      <c r="E23" s="261"/>
      <c r="F23" s="261"/>
      <c r="G23" s="261"/>
      <c r="H23" s="261"/>
      <c r="I23" s="261"/>
    </row>
    <row r="24" spans="2:9" x14ac:dyDescent="0.25">
      <c r="B24" s="63"/>
      <c r="C24" s="63"/>
      <c r="D24" s="63"/>
      <c r="E24" s="63"/>
      <c r="F24" s="63"/>
      <c r="G24" s="63"/>
      <c r="H24" s="63"/>
    </row>
    <row r="25" spans="2:9" x14ac:dyDescent="0.25">
      <c r="B25" s="63"/>
      <c r="C25" s="63"/>
      <c r="D25" s="63"/>
      <c r="E25" s="63"/>
      <c r="F25" s="63"/>
      <c r="G25" s="63"/>
      <c r="H25" s="63"/>
    </row>
  </sheetData>
  <sheetProtection algorithmName="SHA-512" hashValue="Wk0JWawlJlR1MbKtlwDFKvD8Z+hTJchjvPUp8Y5TQ6R+OyBJnzSkjdmlU14wc7BcaGPi2PAvRbtXpL36UB0XHA==" saltValue="KHjqB49vhWglHy5nX9BPVQ==" spinCount="100000" sheet="1" objects="1" scenarios="1"/>
  <mergeCells count="6">
    <mergeCell ref="B4:L4"/>
    <mergeCell ref="B15:I23"/>
    <mergeCell ref="B11:H13"/>
    <mergeCell ref="B7:M7"/>
    <mergeCell ref="B5:L5"/>
    <mergeCell ref="B6:J6"/>
  </mergeCells>
  <phoneticPr fontId="1" type="noConversion"/>
  <hyperlinks>
    <hyperlink ref="B6" r:id="rId1" display="(Click here to visit the WRI GHG Protocol tools website.)" xr:uid="{3C173062-2724-4460-95B8-1B642638EB3B}"/>
  </hyperlinks>
  <pageMargins left="0.7" right="0.7" top="0.75" bottom="0.75" header="0.3" footer="0.3"/>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tabColor rgb="FF00ACA2"/>
  </sheetPr>
  <dimension ref="A4:T54"/>
  <sheetViews>
    <sheetView showGridLines="0" showRowColHeaders="0" workbookViewId="0"/>
  </sheetViews>
  <sheetFormatPr defaultColWidth="9.109375" defaultRowHeight="13.2" x14ac:dyDescent="0.25"/>
  <cols>
    <col min="1" max="1" width="8.5546875" style="103" customWidth="1"/>
    <col min="2" max="2" width="30" style="13" customWidth="1"/>
    <col min="3" max="8" width="18.6640625" style="13" customWidth="1"/>
    <col min="9" max="9" width="38.33203125" style="13" hidden="1" customWidth="1"/>
    <col min="10" max="10" width="45.33203125" style="13" customWidth="1"/>
    <col min="11" max="11" width="24.33203125" style="13" customWidth="1"/>
    <col min="12" max="12" width="19.33203125" style="9" customWidth="1"/>
    <col min="13" max="16384" width="9.109375" style="9"/>
  </cols>
  <sheetData>
    <row r="4" spans="1:11" ht="37.5" customHeight="1" x14ac:dyDescent="0.25">
      <c r="A4" s="102"/>
      <c r="B4" s="38" t="s">
        <v>627</v>
      </c>
    </row>
    <row r="5" spans="1:11" ht="69" customHeight="1" thickBot="1" x14ac:dyDescent="0.3">
      <c r="B5" s="279" t="s">
        <v>721</v>
      </c>
      <c r="C5" s="279"/>
      <c r="D5" s="279"/>
      <c r="E5" s="279"/>
      <c r="F5" s="279"/>
    </row>
    <row r="6" spans="1:11" ht="23.25" customHeight="1" thickBot="1" x14ac:dyDescent="0.3">
      <c r="B6" s="110" t="s">
        <v>620</v>
      </c>
      <c r="C6" s="280"/>
      <c r="D6" s="281"/>
      <c r="E6" s="9"/>
    </row>
    <row r="7" spans="1:11" ht="19.5" customHeight="1" x14ac:dyDescent="0.25">
      <c r="B7" s="282" t="s">
        <v>621</v>
      </c>
      <c r="C7" s="282"/>
      <c r="D7" s="282"/>
      <c r="E7" s="282"/>
      <c r="F7" s="282"/>
      <c r="G7" s="282"/>
      <c r="H7" s="282"/>
      <c r="J7"/>
    </row>
    <row r="9" spans="1:11" ht="33.75" customHeight="1" x14ac:dyDescent="0.25">
      <c r="A9" s="102"/>
      <c r="B9" s="38" t="s">
        <v>698</v>
      </c>
    </row>
    <row r="10" spans="1:11" ht="83.25" customHeight="1" x14ac:dyDescent="0.25">
      <c r="B10" s="283" t="s">
        <v>722</v>
      </c>
      <c r="C10" s="283"/>
      <c r="D10" s="283"/>
      <c r="E10" s="283"/>
      <c r="F10" s="283"/>
    </row>
    <row r="11" spans="1:11" ht="13.8" thickBot="1" x14ac:dyDescent="0.3"/>
    <row r="12" spans="1:11" ht="18.75" customHeight="1" thickBot="1" x14ac:dyDescent="0.3">
      <c r="B12" s="110" t="s">
        <v>631</v>
      </c>
      <c r="C12" s="280"/>
      <c r="D12" s="281"/>
    </row>
    <row r="14" spans="1:11" ht="33" customHeight="1" x14ac:dyDescent="0.25">
      <c r="A14" s="102"/>
      <c r="B14" s="38" t="s">
        <v>628</v>
      </c>
    </row>
    <row r="15" spans="1:11" ht="87.75" customHeight="1" thickBot="1" x14ac:dyDescent="0.3">
      <c r="B15" s="277" t="s">
        <v>708</v>
      </c>
      <c r="C15" s="277"/>
      <c r="D15" s="277"/>
      <c r="E15" s="277"/>
      <c r="F15" s="277"/>
      <c r="G15" s="160"/>
      <c r="H15" s="160"/>
      <c r="I15" s="160"/>
      <c r="J15" s="160"/>
      <c r="K15"/>
    </row>
    <row r="16" spans="1:11" ht="51" customHeight="1" thickBot="1" x14ac:dyDescent="0.3">
      <c r="B16" s="271" t="s">
        <v>0</v>
      </c>
      <c r="C16" s="270" t="s">
        <v>106</v>
      </c>
      <c r="D16" s="270"/>
      <c r="E16" s="270"/>
      <c r="F16" s="270"/>
      <c r="G16" s="273" t="s">
        <v>107</v>
      </c>
      <c r="H16" s="274"/>
      <c r="I16" s="100"/>
      <c r="J16" s="275" t="s">
        <v>706</v>
      </c>
      <c r="K16" s="268" t="s">
        <v>87</v>
      </c>
    </row>
    <row r="17" spans="2:11" ht="30.75" customHeight="1" thickBot="1" x14ac:dyDescent="0.3">
      <c r="B17" s="272"/>
      <c r="C17" s="119" t="s">
        <v>624</v>
      </c>
      <c r="D17" s="120" t="s">
        <v>625</v>
      </c>
      <c r="E17" s="120" t="s">
        <v>626</v>
      </c>
      <c r="F17" s="121" t="s">
        <v>630</v>
      </c>
      <c r="G17" s="117" t="s">
        <v>622</v>
      </c>
      <c r="H17" s="118" t="s">
        <v>710</v>
      </c>
      <c r="I17" s="116"/>
      <c r="J17" s="276"/>
      <c r="K17" s="269"/>
    </row>
    <row r="18" spans="2:11" ht="18" customHeight="1" x14ac:dyDescent="0.25">
      <c r="B18" s="114"/>
      <c r="C18" s="111"/>
      <c r="D18" s="111"/>
      <c r="E18" s="111"/>
      <c r="F18" s="111"/>
      <c r="G18" s="112"/>
      <c r="H18" s="112"/>
      <c r="I18" s="115"/>
      <c r="J18" s="112"/>
      <c r="K18" s="113"/>
    </row>
    <row r="19" spans="2:11" ht="18" customHeight="1" x14ac:dyDescent="0.25">
      <c r="B19" s="114"/>
      <c r="C19" s="111"/>
      <c r="D19" s="111"/>
      <c r="E19" s="111"/>
      <c r="F19" s="111"/>
      <c r="G19" s="112"/>
      <c r="H19" s="112"/>
      <c r="I19" s="115"/>
      <c r="J19" s="112"/>
      <c r="K19" s="113"/>
    </row>
    <row r="20" spans="2:11" ht="18" customHeight="1" x14ac:dyDescent="0.25">
      <c r="B20" s="114"/>
      <c r="C20" s="111"/>
      <c r="D20" s="111"/>
      <c r="E20" s="111"/>
      <c r="F20" s="111"/>
      <c r="G20" s="112"/>
      <c r="H20" s="112"/>
      <c r="I20" s="115"/>
      <c r="J20" s="112"/>
      <c r="K20" s="113"/>
    </row>
    <row r="21" spans="2:11" ht="18" customHeight="1" x14ac:dyDescent="0.25">
      <c r="B21" s="114"/>
      <c r="C21" s="111"/>
      <c r="D21" s="111"/>
      <c r="E21" s="111"/>
      <c r="F21" s="111"/>
      <c r="G21" s="112"/>
      <c r="H21" s="112"/>
      <c r="I21" s="115"/>
      <c r="J21" s="112"/>
      <c r="K21" s="113"/>
    </row>
    <row r="22" spans="2:11" ht="18" customHeight="1" x14ac:dyDescent="0.25">
      <c r="B22" s="114"/>
      <c r="C22" s="111"/>
      <c r="D22" s="111"/>
      <c r="E22" s="111"/>
      <c r="F22" s="111"/>
      <c r="G22" s="112"/>
      <c r="H22" s="112"/>
      <c r="I22" s="115"/>
      <c r="J22" s="112"/>
      <c r="K22" s="113"/>
    </row>
    <row r="23" spans="2:11" ht="18" customHeight="1" x14ac:dyDescent="0.25">
      <c r="B23" s="114"/>
      <c r="C23" s="111"/>
      <c r="D23" s="111"/>
      <c r="E23" s="111"/>
      <c r="F23" s="111"/>
      <c r="G23" s="112"/>
      <c r="H23" s="112"/>
      <c r="I23" s="115"/>
      <c r="J23" s="112"/>
      <c r="K23" s="113"/>
    </row>
    <row r="24" spans="2:11" ht="18" customHeight="1" x14ac:dyDescent="0.25">
      <c r="B24" s="114"/>
      <c r="C24" s="111"/>
      <c r="D24" s="111"/>
      <c r="E24" s="111"/>
      <c r="F24" s="111"/>
      <c r="G24" s="112"/>
      <c r="H24" s="112"/>
      <c r="I24" s="115"/>
      <c r="J24" s="112"/>
      <c r="K24" s="113"/>
    </row>
    <row r="25" spans="2:11" ht="18" customHeight="1" x14ac:dyDescent="0.25">
      <c r="B25" s="114"/>
      <c r="C25" s="111"/>
      <c r="D25" s="111"/>
      <c r="E25" s="111"/>
      <c r="F25" s="111"/>
      <c r="G25" s="112"/>
      <c r="H25" s="112"/>
      <c r="I25" s="115"/>
      <c r="J25" s="112"/>
      <c r="K25" s="113"/>
    </row>
    <row r="26" spans="2:11" ht="18" customHeight="1" x14ac:dyDescent="0.25">
      <c r="B26" s="114"/>
      <c r="C26" s="111"/>
      <c r="D26" s="111"/>
      <c r="E26" s="111"/>
      <c r="F26" s="111"/>
      <c r="G26" s="112"/>
      <c r="H26" s="112"/>
      <c r="I26" s="115"/>
      <c r="J26" s="112"/>
      <c r="K26" s="113"/>
    </row>
    <row r="27" spans="2:11" ht="18" customHeight="1" x14ac:dyDescent="0.25">
      <c r="B27" s="114"/>
      <c r="C27" s="111"/>
      <c r="D27" s="111"/>
      <c r="E27" s="111"/>
      <c r="F27" s="111"/>
      <c r="G27" s="112"/>
      <c r="H27" s="112"/>
      <c r="I27" s="115"/>
      <c r="J27" s="112"/>
      <c r="K27" s="113"/>
    </row>
    <row r="28" spans="2:11" ht="18" customHeight="1" x14ac:dyDescent="0.25">
      <c r="B28" s="91"/>
      <c r="C28" s="29"/>
      <c r="D28" s="29"/>
      <c r="E28" s="29"/>
      <c r="F28" s="29"/>
      <c r="G28" s="20"/>
      <c r="H28" s="20"/>
      <c r="I28" s="62"/>
      <c r="J28" s="112"/>
      <c r="K28" s="113"/>
    </row>
    <row r="29" spans="2:11" ht="18" customHeight="1" x14ac:dyDescent="0.25">
      <c r="B29" s="91"/>
      <c r="C29" s="29"/>
      <c r="D29" s="29"/>
      <c r="E29" s="29"/>
      <c r="F29" s="29"/>
      <c r="G29" s="20"/>
      <c r="H29" s="20"/>
      <c r="I29" s="62"/>
      <c r="J29" s="20"/>
      <c r="K29" s="92"/>
    </row>
    <row r="30" spans="2:11" ht="18" customHeight="1" x14ac:dyDescent="0.25">
      <c r="B30" s="91"/>
      <c r="C30" s="29"/>
      <c r="D30" s="29"/>
      <c r="E30" s="29"/>
      <c r="F30" s="29"/>
      <c r="G30" s="20"/>
      <c r="H30" s="20"/>
      <c r="I30" s="62"/>
      <c r="J30" s="20"/>
      <c r="K30" s="92"/>
    </row>
    <row r="31" spans="2:11" ht="18" customHeight="1" x14ac:dyDescent="0.25">
      <c r="B31" s="91"/>
      <c r="C31" s="29"/>
      <c r="D31" s="29"/>
      <c r="E31" s="29"/>
      <c r="F31" s="29"/>
      <c r="G31" s="20"/>
      <c r="H31" s="20"/>
      <c r="I31" s="62"/>
      <c r="J31" s="20"/>
      <c r="K31" s="92"/>
    </row>
    <row r="32" spans="2:11" ht="18" customHeight="1" thickBot="1" x14ac:dyDescent="0.3">
      <c r="B32" s="93"/>
      <c r="C32" s="94"/>
      <c r="D32" s="94"/>
      <c r="E32" s="94"/>
      <c r="F32" s="94"/>
      <c r="G32" s="95"/>
      <c r="H32" s="95"/>
      <c r="I32" s="96"/>
      <c r="J32" s="95"/>
      <c r="K32" s="97"/>
    </row>
    <row r="35" spans="1:20" ht="36" customHeight="1" x14ac:dyDescent="0.25">
      <c r="A35" s="102"/>
      <c r="B35" s="38" t="s">
        <v>629</v>
      </c>
    </row>
    <row r="36" spans="1:20" ht="58.5" customHeight="1" thickBot="1" x14ac:dyDescent="0.3">
      <c r="A36"/>
      <c r="B36" s="278" t="s">
        <v>707</v>
      </c>
      <c r="C36" s="278"/>
      <c r="D36" s="278"/>
      <c r="E36" s="278"/>
      <c r="F36" s="278"/>
      <c r="G36" s="160"/>
      <c r="H36" s="160"/>
      <c r="I36" s="160"/>
      <c r="J36" s="160"/>
      <c r="L36" s="13"/>
      <c r="M36" s="13"/>
      <c r="N36" s="13"/>
      <c r="O36" s="13"/>
      <c r="P36" s="13"/>
      <c r="Q36" s="13"/>
      <c r="R36" s="13"/>
      <c r="S36" s="13"/>
      <c r="T36" s="13"/>
    </row>
    <row r="37" spans="1:20" ht="27" customHeight="1" thickBot="1" x14ac:dyDescent="0.3">
      <c r="B37" s="271" t="s">
        <v>720</v>
      </c>
      <c r="C37" s="270" t="s">
        <v>106</v>
      </c>
      <c r="D37" s="270"/>
      <c r="E37" s="270"/>
      <c r="F37" s="270"/>
      <c r="G37" s="273" t="s">
        <v>107</v>
      </c>
      <c r="H37" s="274"/>
      <c r="I37" s="100" t="s">
        <v>598</v>
      </c>
      <c r="J37" s="275" t="s">
        <v>706</v>
      </c>
      <c r="K37" s="268" t="s">
        <v>87</v>
      </c>
    </row>
    <row r="38" spans="1:20" ht="36.75" customHeight="1" thickBot="1" x14ac:dyDescent="0.3">
      <c r="B38" s="272"/>
      <c r="C38" s="119" t="s">
        <v>624</v>
      </c>
      <c r="D38" s="120" t="s">
        <v>625</v>
      </c>
      <c r="E38" s="120" t="s">
        <v>626</v>
      </c>
      <c r="F38" s="121" t="s">
        <v>630</v>
      </c>
      <c r="G38" s="117" t="s">
        <v>622</v>
      </c>
      <c r="H38" s="118" t="s">
        <v>623</v>
      </c>
      <c r="I38" s="116"/>
      <c r="J38" s="276"/>
      <c r="K38" s="269"/>
    </row>
    <row r="39" spans="1:20" ht="18" customHeight="1" x14ac:dyDescent="0.25">
      <c r="B39" s="114"/>
      <c r="C39" s="111"/>
      <c r="D39" s="111"/>
      <c r="E39" s="111"/>
      <c r="F39" s="111"/>
      <c r="G39" s="112"/>
      <c r="H39" s="112"/>
      <c r="I39" s="115" t="str" cm="1">
        <f t="array" ref="I39">_xlfn.IFNA(_xlfn.IFS(
OR($H39="Ton Mile", $H39="Short Ton Mile",$H39="Ton Milometer", $H39="Short Ton Kilometer"), "Ref_DD_WeightDistanceUnits",
OR($H39="Mile", $H39="Kilometer"),"Ref_DD_DistanceUnit",
OR($H39="Passenger Mile", $H39="Passenger Kilometer"),"Ref_DD_PasengerDistanceUnits"),"")</f>
        <v/>
      </c>
      <c r="J39" s="112"/>
      <c r="K39" s="113"/>
    </row>
    <row r="40" spans="1:20" ht="18" customHeight="1" x14ac:dyDescent="0.25">
      <c r="B40" s="114"/>
      <c r="C40" s="111"/>
      <c r="D40" s="111"/>
      <c r="E40" s="111"/>
      <c r="F40" s="111"/>
      <c r="G40" s="112"/>
      <c r="H40" s="112"/>
      <c r="I40" s="115"/>
      <c r="J40" s="112"/>
      <c r="K40" s="113"/>
    </row>
    <row r="41" spans="1:20" ht="18" customHeight="1" x14ac:dyDescent="0.25">
      <c r="B41" s="114"/>
      <c r="C41" s="111"/>
      <c r="D41" s="111"/>
      <c r="E41" s="111"/>
      <c r="F41" s="111"/>
      <c r="G41" s="112"/>
      <c r="H41" s="112"/>
      <c r="I41" s="115"/>
      <c r="J41" s="112"/>
      <c r="K41" s="113"/>
    </row>
    <row r="42" spans="1:20" ht="18" customHeight="1" x14ac:dyDescent="0.25">
      <c r="B42" s="114"/>
      <c r="C42" s="111"/>
      <c r="D42" s="111"/>
      <c r="E42" s="111"/>
      <c r="F42" s="111"/>
      <c r="G42" s="112"/>
      <c r="H42" s="112"/>
      <c r="I42" s="115"/>
      <c r="J42" s="112"/>
      <c r="K42" s="113"/>
    </row>
    <row r="43" spans="1:20" ht="18" customHeight="1" x14ac:dyDescent="0.25">
      <c r="B43" s="114"/>
      <c r="C43" s="111"/>
      <c r="D43" s="111"/>
      <c r="E43" s="111"/>
      <c r="F43" s="111"/>
      <c r="G43" s="112"/>
      <c r="H43" s="112"/>
      <c r="I43" s="115"/>
      <c r="J43" s="112"/>
      <c r="K43" s="113"/>
    </row>
    <row r="44" spans="1:20" ht="18" customHeight="1" x14ac:dyDescent="0.25">
      <c r="B44" s="114"/>
      <c r="C44" s="111"/>
      <c r="D44" s="111"/>
      <c r="E44" s="111"/>
      <c r="F44" s="111"/>
      <c r="G44" s="112"/>
      <c r="H44" s="112"/>
      <c r="I44" s="115"/>
      <c r="J44" s="112"/>
      <c r="K44" s="113"/>
    </row>
    <row r="45" spans="1:20" ht="18" customHeight="1" x14ac:dyDescent="0.25">
      <c r="B45" s="114"/>
      <c r="C45" s="111"/>
      <c r="D45" s="111"/>
      <c r="E45" s="111"/>
      <c r="F45" s="111"/>
      <c r="G45" s="112"/>
      <c r="H45" s="112"/>
      <c r="I45" s="115"/>
      <c r="J45" s="112"/>
      <c r="K45" s="113"/>
    </row>
    <row r="46" spans="1:20" ht="18" customHeight="1" x14ac:dyDescent="0.25">
      <c r="B46" s="114"/>
      <c r="C46" s="111"/>
      <c r="D46" s="111"/>
      <c r="E46" s="111"/>
      <c r="F46" s="111"/>
      <c r="G46" s="112"/>
      <c r="H46" s="112"/>
      <c r="I46" s="115"/>
      <c r="J46" s="112"/>
      <c r="K46" s="113"/>
    </row>
    <row r="47" spans="1:20" ht="18" customHeight="1" x14ac:dyDescent="0.25">
      <c r="B47" s="114"/>
      <c r="C47" s="111"/>
      <c r="D47" s="111"/>
      <c r="E47" s="111"/>
      <c r="F47" s="111"/>
      <c r="G47" s="112"/>
      <c r="H47" s="112"/>
      <c r="I47" s="115"/>
      <c r="J47" s="112"/>
      <c r="K47" s="113"/>
    </row>
    <row r="48" spans="1:20" ht="18" customHeight="1" x14ac:dyDescent="0.25">
      <c r="B48" s="114"/>
      <c r="C48" s="111"/>
      <c r="D48" s="111"/>
      <c r="E48" s="111"/>
      <c r="F48" s="111"/>
      <c r="G48" s="112"/>
      <c r="H48" s="112"/>
      <c r="I48" s="115"/>
      <c r="J48" s="112"/>
      <c r="K48" s="113"/>
    </row>
    <row r="49" spans="2:11" ht="18" customHeight="1" x14ac:dyDescent="0.25">
      <c r="B49" s="114"/>
      <c r="C49" s="111"/>
      <c r="D49" s="111"/>
      <c r="E49" s="111"/>
      <c r="F49" s="111"/>
      <c r="G49" s="112"/>
      <c r="H49" s="112"/>
      <c r="I49" s="115"/>
      <c r="J49" s="112"/>
      <c r="K49" s="113"/>
    </row>
    <row r="50" spans="2:11" ht="18" customHeight="1" x14ac:dyDescent="0.25">
      <c r="B50" s="91"/>
      <c r="C50" s="29"/>
      <c r="D50" s="29"/>
      <c r="E50" s="29"/>
      <c r="F50" s="29"/>
      <c r="G50" s="20"/>
      <c r="H50" s="20"/>
      <c r="I50" s="62" t="str" cm="1">
        <f t="array" ref="I50">_xlfn.IFNA(_xlfn.IFS(
OR($H50="Ton Mile", $H50="Short Ton Mile",$H50="Ton Milometer", $H50="Short Ton Kilometer"), "Ref_DD_WeightDistanceUnits",
OR($H50="Mile", $H50="Kilometer"),"Ref_DD_DistanceUnit",
OR($H50="Passenger Mile", $H50="Passenger Kilometer"),"Ref_DD_PasengerDistanceUnits"),"")</f>
        <v/>
      </c>
      <c r="J50" s="20"/>
      <c r="K50" s="92"/>
    </row>
    <row r="51" spans="2:11" ht="18" customHeight="1" x14ac:dyDescent="0.25">
      <c r="B51" s="91"/>
      <c r="C51" s="29"/>
      <c r="D51" s="29"/>
      <c r="E51" s="29"/>
      <c r="F51" s="29"/>
      <c r="G51" s="20"/>
      <c r="H51" s="20"/>
      <c r="I51" s="62" t="str" cm="1">
        <f t="array" ref="I51">_xlfn.IFNA(_xlfn.IFS(
OR($H51="Ton Mile", $H51="Short Ton Mile",$H51="Ton Milometer", $H51="Short Ton Kilometer"), "Ref_DD_WeightDistanceUnits",
OR($H51="Mile", $H51="Kilometer"),"Ref_DD_DistanceUnit",
OR($H51="Passenger Mile", $H51="Passenger Kilometer"),"Ref_DD_PasengerDistanceUnits"),"")</f>
        <v/>
      </c>
      <c r="J51" s="20"/>
      <c r="K51" s="92"/>
    </row>
    <row r="52" spans="2:11" ht="18" customHeight="1" x14ac:dyDescent="0.25">
      <c r="B52" s="91"/>
      <c r="C52" s="29"/>
      <c r="D52" s="29"/>
      <c r="E52" s="29"/>
      <c r="F52" s="29"/>
      <c r="G52" s="20"/>
      <c r="H52" s="20"/>
      <c r="I52" s="62" t="str" cm="1">
        <f t="array" ref="I52">_xlfn.IFNA(_xlfn.IFS(
OR($H52="Ton Mile", $H52="Short Ton Mile",$H52="Ton Milometer", $H52="Short Ton Kilometer"), "Ref_DD_WeightDistanceUnits",
OR($H52="Mile", $H52="Kilometer"),"Ref_DD_DistanceUnit",
OR($H52="Passenger Mile", $H52="Passenger Kilometer"),"Ref_DD_PasengerDistanceUnits"),"")</f>
        <v/>
      </c>
      <c r="J52" s="20"/>
      <c r="K52" s="92"/>
    </row>
    <row r="53" spans="2:11" ht="18" customHeight="1" x14ac:dyDescent="0.25">
      <c r="B53" s="91"/>
      <c r="C53" s="29"/>
      <c r="D53" s="29"/>
      <c r="E53" s="29"/>
      <c r="F53" s="29"/>
      <c r="G53" s="20"/>
      <c r="H53" s="20"/>
      <c r="I53" s="62" t="str" cm="1">
        <f t="array" ref="I53">_xlfn.IFNA(_xlfn.IFS(
OR($H53="Ton Mile", $H53="Short Ton Mile",$H53="Ton Milometer", $H53="Short Ton Kilometer"), "Ref_DD_WeightDistanceUnits",
OR($H53="Mile", $H53="Kilometer"),"Ref_DD_DistanceUnit",
OR($H53="Passenger Mile", $H53="Passenger Kilometer"),"Ref_DD_PasengerDistanceUnits"),"")</f>
        <v/>
      </c>
      <c r="J53" s="20"/>
      <c r="K53" s="92"/>
    </row>
    <row r="54" spans="2:11" ht="18" customHeight="1" thickBot="1" x14ac:dyDescent="0.3">
      <c r="B54" s="93"/>
      <c r="C54" s="94"/>
      <c r="D54" s="94"/>
      <c r="E54" s="94"/>
      <c r="F54" s="94"/>
      <c r="G54" s="95"/>
      <c r="H54" s="95"/>
      <c r="I54" s="96" t="str" cm="1">
        <f t="array" ref="I54">_xlfn.IFNA(_xlfn.IFS(
OR($H54="Ton Mile", $H54="Short Ton Mile",$H54="Ton Milometer", $H54="Short Ton Kilometer"), "Ref_DD_WeightDistanceUnits",
OR($H54="Mile", $H54="Kilometer"),"Ref_DD_DistanceUnit",
OR($H54="Passenger Mile", $H54="Passenger Kilometer"),"Ref_DD_PasengerDistanceUnits"),"")</f>
        <v/>
      </c>
      <c r="J54" s="95"/>
      <c r="K54" s="97"/>
    </row>
  </sheetData>
  <sheetProtection algorithmName="SHA-512" hashValue="RM96cHW0fwdLnArRvqiGSK7dueqlCl7HDCuNWuYBryTOKAMhSC9ESSDkoh/2Vptms9ZNsfrHb6xqTwlxjjHYPQ==" saltValue="oe43qM23m+0HqSnq71pocw==" spinCount="100000" sheet="1" objects="1" scenarios="1"/>
  <mergeCells count="17">
    <mergeCell ref="B15:F15"/>
    <mergeCell ref="B36:F36"/>
    <mergeCell ref="B5:F5"/>
    <mergeCell ref="C6:D6"/>
    <mergeCell ref="B37:B38"/>
    <mergeCell ref="B7:H7"/>
    <mergeCell ref="C12:D12"/>
    <mergeCell ref="B10:F10"/>
    <mergeCell ref="G37:H37"/>
    <mergeCell ref="K37:K38"/>
    <mergeCell ref="C37:F37"/>
    <mergeCell ref="B16:B17"/>
    <mergeCell ref="K16:K17"/>
    <mergeCell ref="G16:H16"/>
    <mergeCell ref="C16:F16"/>
    <mergeCell ref="J16:J17"/>
    <mergeCell ref="J37:J38"/>
  </mergeCells>
  <phoneticPr fontId="20" type="noConversion"/>
  <dataValidations count="5">
    <dataValidation type="list" allowBlank="1" showInputMessage="1" showErrorMessage="1" sqref="G39:G54 G18:G32" xr:uid="{00000000-0002-0000-0200-000000000000}">
      <formula1>Ref_DD_Numerator</formula1>
    </dataValidation>
    <dataValidation type="list" allowBlank="1" showInputMessage="1" showErrorMessage="1" sqref="H39:H54" xr:uid="{00000000-0002-0000-0200-000001000000}">
      <formula1>Ref_DD_MasterUnits</formula1>
    </dataValidation>
    <dataValidation type="decimal" operator="greaterThanOrEqual" allowBlank="1" showInputMessage="1" showErrorMessage="1" sqref="C39:F54 C18:F32" xr:uid="{00000000-0002-0000-0200-000002000000}">
      <formula1>0</formula1>
    </dataValidation>
    <dataValidation type="list" allowBlank="1" showInputMessage="1" showErrorMessage="1" sqref="H18:I32" xr:uid="{00000000-0002-0000-0200-000003000000}">
      <formula1>Ref_DD_Fuel_Units</formula1>
    </dataValidation>
    <dataValidation type="list" allowBlank="1" showInputMessage="1" showErrorMessage="1" sqref="C6:D6" xr:uid="{00000000-0002-0000-0200-000004000000}">
      <formula1>Ref_DD_IPCC_GWP</formula1>
    </dataValidation>
  </dataValidations>
  <pageMargins left="0.7" right="0.7" top="0.75" bottom="0.75" header="0.3" footer="0.3"/>
  <pageSetup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786B106-C118-456A-8BC8-98E4AA3EA171}">
          <x14:formula1>
            <xm:f>'Reference - Lookup and Unit'!$A$37:$A$38</xm:f>
          </x14:formula1>
          <xm:sqref>C12:D12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00ACA2"/>
  </sheetPr>
  <dimension ref="B1:DA63"/>
  <sheetViews>
    <sheetView showGridLines="0" showRowColHeaders="0" zoomScaleNormal="100" workbookViewId="0"/>
  </sheetViews>
  <sheetFormatPr defaultColWidth="15.33203125" defaultRowHeight="13.2" x14ac:dyDescent="0.25"/>
  <cols>
    <col min="2" max="2" width="22.5546875" style="13" customWidth="1"/>
    <col min="3" max="3" width="20" style="13" hidden="1" customWidth="1"/>
    <col min="4" max="4" width="21.5546875" style="13" customWidth="1"/>
    <col min="5" max="5" width="22.33203125" style="13" customWidth="1"/>
    <col min="6" max="6" width="21.88671875" style="13" customWidth="1"/>
    <col min="7" max="7" width="27.5546875" style="58" customWidth="1"/>
    <col min="8" max="8" width="15.33203125" style="58"/>
    <col min="9" max="11" width="15.33203125" style="10" customWidth="1"/>
    <col min="12" max="12" width="24.33203125" style="10" customWidth="1"/>
    <col min="13" max="13" width="15.33203125" style="59" customWidth="1"/>
    <col min="14" max="15" width="15.33203125" style="13" customWidth="1"/>
    <col min="16" max="16" width="16.88671875" style="60" customWidth="1"/>
    <col min="17" max="17" width="31.44140625" style="13" customWidth="1"/>
    <col min="18" max="20" width="15.33203125" style="13" customWidth="1"/>
    <col min="21" max="21" width="25.6640625" style="13" customWidth="1"/>
    <col min="22" max="25" width="15.33203125" style="13" customWidth="1"/>
    <col min="26" max="26" width="15.6640625" style="58" customWidth="1"/>
    <col min="27" max="50" width="15.33203125" style="13" hidden="1" customWidth="1"/>
    <col min="51" max="51" width="53.6640625" style="9" hidden="1" customWidth="1"/>
    <col min="52" max="101" width="15.33203125" style="9" hidden="1" customWidth="1"/>
    <col min="102" max="102" width="30.33203125" style="9" hidden="1" customWidth="1"/>
    <col min="103" max="105" width="15.33203125" style="9" hidden="1" customWidth="1"/>
  </cols>
  <sheetData>
    <row r="1" spans="2:105" x14ac:dyDescent="0.25">
      <c r="G1" s="63"/>
      <c r="V1"/>
    </row>
    <row r="2" spans="2:105" ht="8.25" customHeight="1" x14ac:dyDescent="0.25">
      <c r="F2"/>
      <c r="G2" s="63"/>
      <c r="V2"/>
    </row>
    <row r="3" spans="2:105" ht="68.25" customHeight="1" x14ac:dyDescent="0.25">
      <c r="B3" s="98"/>
      <c r="C3" s="69"/>
      <c r="D3" s="69"/>
      <c r="E3" s="69"/>
      <c r="F3" s="69"/>
      <c r="G3" s="69"/>
      <c r="H3" s="98"/>
      <c r="I3" s="69"/>
      <c r="J3" s="69"/>
      <c r="K3" s="69"/>
      <c r="L3" s="69"/>
      <c r="M3" s="69"/>
      <c r="N3" s="69"/>
      <c r="O3" s="69"/>
      <c r="P3" s="98"/>
      <c r="Q3" s="69"/>
      <c r="R3" s="69"/>
      <c r="S3" s="69"/>
      <c r="T3" s="69"/>
      <c r="U3" s="64"/>
      <c r="V3"/>
      <c r="W3" s="101"/>
      <c r="X3" s="64"/>
      <c r="Y3" s="64"/>
      <c r="Z3" s="64"/>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row>
    <row r="4" spans="2:105" ht="44.4" x14ac:dyDescent="0.7">
      <c r="B4" s="99"/>
      <c r="C4"/>
      <c r="D4"/>
      <c r="E4" s="66"/>
      <c r="F4"/>
      <c r="G4" s="63"/>
      <c r="H4" s="99"/>
      <c r="I4"/>
      <c r="J4"/>
      <c r="K4"/>
      <c r="L4" s="65"/>
      <c r="M4"/>
      <c r="N4"/>
      <c r="O4"/>
      <c r="P4" s="99"/>
      <c r="Q4" s="26"/>
      <c r="R4" s="67"/>
      <c r="S4"/>
      <c r="T4"/>
      <c r="U4" s="68"/>
      <c r="V4"/>
      <c r="W4" s="99"/>
      <c r="X4"/>
      <c r="Y4"/>
      <c r="Z4" s="63"/>
      <c r="AA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row>
    <row r="5" spans="2:105" ht="22.5" customHeight="1" thickBot="1" x14ac:dyDescent="0.3">
      <c r="B5" s="99" t="s">
        <v>534</v>
      </c>
      <c r="E5"/>
      <c r="F5"/>
      <c r="G5" s="63"/>
      <c r="H5" s="99"/>
      <c r="I5"/>
      <c r="J5"/>
      <c r="K5"/>
      <c r="L5"/>
      <c r="M5"/>
      <c r="N5"/>
      <c r="O5"/>
      <c r="P5" s="241"/>
      <c r="Q5"/>
      <c r="R5"/>
      <c r="S5"/>
      <c r="T5" s="140"/>
      <c r="U5" s="129"/>
      <c r="V5"/>
      <c r="W5" s="99"/>
      <c r="X5"/>
      <c r="Y5"/>
      <c r="Z5" s="63"/>
      <c r="AA5" s="133"/>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row>
    <row r="6" spans="2:105" ht="16.5" customHeight="1" x14ac:dyDescent="0.25">
      <c r="B6" s="295" t="s">
        <v>118</v>
      </c>
      <c r="C6" s="297" t="s">
        <v>682</v>
      </c>
      <c r="D6" s="299" t="s">
        <v>7</v>
      </c>
      <c r="E6" s="299" t="s">
        <v>13</v>
      </c>
      <c r="F6" s="299" t="s">
        <v>85</v>
      </c>
      <c r="G6" s="299" t="s">
        <v>79</v>
      </c>
      <c r="H6" s="292" t="s">
        <v>599</v>
      </c>
      <c r="I6" s="293"/>
      <c r="J6" s="293"/>
      <c r="K6" s="293"/>
      <c r="L6" s="294"/>
      <c r="M6" s="292" t="s">
        <v>600</v>
      </c>
      <c r="N6" s="293"/>
      <c r="O6" s="294"/>
      <c r="P6" s="301" t="s">
        <v>615</v>
      </c>
      <c r="Q6" s="303" t="s">
        <v>713</v>
      </c>
      <c r="R6" s="290" t="s">
        <v>104</v>
      </c>
      <c r="S6" s="290"/>
      <c r="T6" s="290"/>
      <c r="U6" s="290"/>
      <c r="V6" s="290"/>
      <c r="W6" s="284" t="s">
        <v>601</v>
      </c>
      <c r="X6" s="285"/>
      <c r="Y6" s="285"/>
      <c r="Z6" s="28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row>
    <row r="7" spans="2:105" ht="29.25" customHeight="1" thickBot="1" x14ac:dyDescent="0.3">
      <c r="B7" s="296"/>
      <c r="C7" s="298"/>
      <c r="D7" s="300"/>
      <c r="E7" s="300"/>
      <c r="F7" s="300"/>
      <c r="G7" s="300"/>
      <c r="H7" s="70" t="s">
        <v>43</v>
      </c>
      <c r="I7" s="70" t="s">
        <v>101</v>
      </c>
      <c r="J7" s="70" t="s">
        <v>616</v>
      </c>
      <c r="K7" s="70" t="s">
        <v>136</v>
      </c>
      <c r="L7" s="70" t="s">
        <v>617</v>
      </c>
      <c r="M7" s="70" t="s">
        <v>103</v>
      </c>
      <c r="N7" s="70" t="s">
        <v>93</v>
      </c>
      <c r="O7" s="70" t="s">
        <v>102</v>
      </c>
      <c r="P7" s="302"/>
      <c r="Q7" s="304"/>
      <c r="R7" s="291"/>
      <c r="S7" s="291"/>
      <c r="T7" s="291"/>
      <c r="U7" s="291"/>
      <c r="V7" s="291"/>
      <c r="W7" s="287"/>
      <c r="X7" s="288"/>
      <c r="Y7" s="288"/>
      <c r="Z7" s="289"/>
      <c r="AP7"/>
      <c r="AQ7"/>
      <c r="AR7"/>
      <c r="AS7"/>
      <c r="AT7"/>
      <c r="AU7"/>
      <c r="AV7"/>
      <c r="AW7"/>
      <c r="AX7"/>
      <c r="AY7"/>
      <c r="BA7" s="22" t="s">
        <v>86</v>
      </c>
      <c r="BB7" s="22" t="s">
        <v>86</v>
      </c>
      <c r="BC7" s="22" t="s">
        <v>86</v>
      </c>
      <c r="BD7" s="22" t="s">
        <v>86</v>
      </c>
      <c r="BE7" s="22" t="s">
        <v>86</v>
      </c>
      <c r="BF7" s="22" t="s">
        <v>86</v>
      </c>
      <c r="BG7" s="22" t="s">
        <v>52</v>
      </c>
      <c r="BH7" s="22" t="s">
        <v>52</v>
      </c>
      <c r="BI7" s="22" t="s">
        <v>52</v>
      </c>
      <c r="BJ7" s="22" t="s">
        <v>52</v>
      </c>
      <c r="BK7" s="22" t="s">
        <v>52</v>
      </c>
      <c r="BL7" s="22" t="s">
        <v>52</v>
      </c>
      <c r="BM7" s="22" t="s">
        <v>125</v>
      </c>
      <c r="BN7" s="22" t="s">
        <v>125</v>
      </c>
      <c r="BO7" s="22" t="s">
        <v>86</v>
      </c>
      <c r="BP7" s="22" t="s">
        <v>86</v>
      </c>
      <c r="BQ7" s="22" t="s">
        <v>86</v>
      </c>
      <c r="BR7" s="22" t="s">
        <v>86</v>
      </c>
      <c r="BS7" s="22" t="s">
        <v>86</v>
      </c>
      <c r="BT7" s="22" t="s">
        <v>86</v>
      </c>
      <c r="BU7" s="22" t="s">
        <v>86</v>
      </c>
      <c r="BV7" s="22" t="s">
        <v>86</v>
      </c>
      <c r="BW7" s="22" t="s">
        <v>86</v>
      </c>
      <c r="BX7" s="22" t="s">
        <v>86</v>
      </c>
      <c r="BY7" s="22" t="s">
        <v>86</v>
      </c>
      <c r="BZ7" s="22" t="s">
        <v>86</v>
      </c>
      <c r="CA7" s="22" t="s">
        <v>86</v>
      </c>
      <c r="CB7" s="22" t="s">
        <v>86</v>
      </c>
      <c r="CC7" s="22" t="s">
        <v>86</v>
      </c>
      <c r="CD7" s="22" t="s">
        <v>52</v>
      </c>
      <c r="CE7" s="22" t="s">
        <v>52</v>
      </c>
      <c r="CF7" s="22" t="s">
        <v>52</v>
      </c>
      <c r="CG7" s="22" t="s">
        <v>52</v>
      </c>
      <c r="CH7" s="22" t="s">
        <v>52</v>
      </c>
      <c r="CI7" s="22" t="s">
        <v>52</v>
      </c>
      <c r="CJ7" s="22" t="s">
        <v>52</v>
      </c>
      <c r="CK7" s="22" t="s">
        <v>52</v>
      </c>
      <c r="CL7" s="22" t="s">
        <v>52</v>
      </c>
      <c r="CM7" s="22" t="s">
        <v>52</v>
      </c>
      <c r="CN7" s="22" t="s">
        <v>52</v>
      </c>
      <c r="CO7" s="22" t="s">
        <v>52</v>
      </c>
      <c r="CP7" s="22" t="s">
        <v>52</v>
      </c>
      <c r="CQ7" s="22" t="s">
        <v>52</v>
      </c>
      <c r="CR7" s="22" t="s">
        <v>52</v>
      </c>
      <c r="CS7" s="22" t="s">
        <v>125</v>
      </c>
      <c r="CT7" s="22" t="s">
        <v>125</v>
      </c>
      <c r="CU7" s="22" t="s">
        <v>125</v>
      </c>
      <c r="CV7" s="22" t="s">
        <v>125</v>
      </c>
      <c r="CW7" s="47" t="s">
        <v>125</v>
      </c>
      <c r="CX7"/>
      <c r="CY7"/>
      <c r="CZ7"/>
      <c r="DA7"/>
    </row>
    <row r="8" spans="2:105" ht="46.5" customHeight="1" x14ac:dyDescent="0.25">
      <c r="B8" s="242"/>
      <c r="C8" s="122" t="s">
        <v>682</v>
      </c>
      <c r="D8" s="81" t="s">
        <v>608</v>
      </c>
      <c r="E8" s="81" t="s">
        <v>609</v>
      </c>
      <c r="F8" s="81" t="s">
        <v>610</v>
      </c>
      <c r="G8" s="81" t="s">
        <v>611</v>
      </c>
      <c r="H8" s="81"/>
      <c r="I8" s="81"/>
      <c r="J8" s="81"/>
      <c r="K8" s="81" t="s">
        <v>612</v>
      </c>
      <c r="L8" s="81" t="s">
        <v>613</v>
      </c>
      <c r="M8" s="81"/>
      <c r="N8" s="81"/>
      <c r="O8" s="81"/>
      <c r="P8" s="302"/>
      <c r="Q8" s="81" t="s">
        <v>709</v>
      </c>
      <c r="R8" s="70" t="s">
        <v>602</v>
      </c>
      <c r="S8" s="70" t="s">
        <v>603</v>
      </c>
      <c r="T8" s="70" t="s">
        <v>604</v>
      </c>
      <c r="U8" s="70" t="s">
        <v>605</v>
      </c>
      <c r="V8" s="70" t="s">
        <v>606</v>
      </c>
      <c r="W8" s="82" t="s">
        <v>587</v>
      </c>
      <c r="X8" s="82" t="s">
        <v>588</v>
      </c>
      <c r="Y8" s="82" t="s">
        <v>589</v>
      </c>
      <c r="Z8" s="243" t="s">
        <v>590</v>
      </c>
      <c r="AA8" s="104" t="s">
        <v>632</v>
      </c>
      <c r="AB8" s="105" t="s">
        <v>633</v>
      </c>
      <c r="AC8" s="105" t="s">
        <v>634</v>
      </c>
      <c r="AD8" s="105" t="s">
        <v>635</v>
      </c>
      <c r="AE8" s="105" t="s">
        <v>636</v>
      </c>
      <c r="AF8" s="105" t="s">
        <v>637</v>
      </c>
      <c r="AG8" s="105" t="s">
        <v>638</v>
      </c>
      <c r="AH8" s="105" t="s">
        <v>639</v>
      </c>
      <c r="AI8" s="105" t="s">
        <v>640</v>
      </c>
      <c r="AJ8" s="105" t="s">
        <v>641</v>
      </c>
      <c r="AK8" s="105" t="s">
        <v>642</v>
      </c>
      <c r="AL8" s="105" t="s">
        <v>643</v>
      </c>
      <c r="AM8" s="106" t="s">
        <v>644</v>
      </c>
      <c r="AN8" s="106" t="s">
        <v>645</v>
      </c>
      <c r="AO8" s="106" t="s">
        <v>646</v>
      </c>
      <c r="AP8" s="106" t="s">
        <v>647</v>
      </c>
      <c r="AQ8" s="106" t="s">
        <v>648</v>
      </c>
      <c r="AR8" s="106" t="s">
        <v>649</v>
      </c>
      <c r="AS8" s="106" t="s">
        <v>650</v>
      </c>
      <c r="AT8" s="107" t="s">
        <v>651</v>
      </c>
      <c r="AU8" s="107" t="s">
        <v>120</v>
      </c>
      <c r="AV8" s="107" t="s">
        <v>652</v>
      </c>
      <c r="AW8" s="107" t="s">
        <v>127</v>
      </c>
      <c r="AX8" s="107" t="s">
        <v>653</v>
      </c>
      <c r="AY8" s="47" t="s">
        <v>654</v>
      </c>
      <c r="AZ8" s="47" t="s">
        <v>655</v>
      </c>
      <c r="BA8" s="47" t="s">
        <v>656</v>
      </c>
      <c r="BB8" s="47" t="s">
        <v>657</v>
      </c>
      <c r="BC8" s="47" t="s">
        <v>658</v>
      </c>
      <c r="BD8" s="47" t="s">
        <v>659</v>
      </c>
      <c r="BE8" s="47" t="s">
        <v>660</v>
      </c>
      <c r="BF8" s="47" t="s">
        <v>661</v>
      </c>
      <c r="BG8" s="47" t="s">
        <v>656</v>
      </c>
      <c r="BH8" s="47" t="s">
        <v>657</v>
      </c>
      <c r="BI8" s="47" t="s">
        <v>658</v>
      </c>
      <c r="BJ8" s="47" t="s">
        <v>659</v>
      </c>
      <c r="BK8" s="47" t="s">
        <v>660</v>
      </c>
      <c r="BL8" s="47" t="s">
        <v>661</v>
      </c>
      <c r="BM8" s="47" t="s">
        <v>723</v>
      </c>
      <c r="BN8" s="47" t="s">
        <v>724</v>
      </c>
      <c r="BO8" s="47" t="s">
        <v>662</v>
      </c>
      <c r="BP8" s="47" t="s">
        <v>663</v>
      </c>
      <c r="BQ8" s="47" t="s">
        <v>664</v>
      </c>
      <c r="BR8" s="47" t="s">
        <v>665</v>
      </c>
      <c r="BS8" s="47" t="s">
        <v>666</v>
      </c>
      <c r="BT8" s="47" t="s">
        <v>667</v>
      </c>
      <c r="BU8" s="47" t="s">
        <v>668</v>
      </c>
      <c r="BV8" s="47" t="s">
        <v>669</v>
      </c>
      <c r="BW8" s="47" t="s">
        <v>670</v>
      </c>
      <c r="BX8" s="47" t="s">
        <v>671</v>
      </c>
      <c r="BY8" s="47" t="s">
        <v>672</v>
      </c>
      <c r="BZ8" s="47" t="s">
        <v>673</v>
      </c>
      <c r="CA8" s="47" t="s">
        <v>674</v>
      </c>
      <c r="CB8" s="47" t="s">
        <v>675</v>
      </c>
      <c r="CC8" s="47" t="s">
        <v>676</v>
      </c>
      <c r="CD8" s="47" t="s">
        <v>662</v>
      </c>
      <c r="CE8" s="47" t="s">
        <v>663</v>
      </c>
      <c r="CF8" s="47" t="s">
        <v>664</v>
      </c>
      <c r="CG8" s="47" t="s">
        <v>665</v>
      </c>
      <c r="CH8" s="47" t="s">
        <v>677</v>
      </c>
      <c r="CI8" s="47" t="s">
        <v>667</v>
      </c>
      <c r="CJ8" s="47" t="s">
        <v>668</v>
      </c>
      <c r="CK8" s="47" t="s">
        <v>669</v>
      </c>
      <c r="CL8" s="47" t="s">
        <v>670</v>
      </c>
      <c r="CM8" s="47" t="s">
        <v>678</v>
      </c>
      <c r="CN8" s="47" t="s">
        <v>672</v>
      </c>
      <c r="CO8" s="47" t="s">
        <v>673</v>
      </c>
      <c r="CP8" s="47" t="s">
        <v>674</v>
      </c>
      <c r="CQ8" s="47" t="s">
        <v>675</v>
      </c>
      <c r="CR8" s="47" t="s">
        <v>676</v>
      </c>
      <c r="CS8" s="47" t="s">
        <v>725</v>
      </c>
      <c r="CT8" s="47" t="s">
        <v>726</v>
      </c>
      <c r="CU8" s="47" t="s">
        <v>727</v>
      </c>
      <c r="CV8" s="47" t="s">
        <v>728</v>
      </c>
      <c r="CW8" s="47" t="s">
        <v>729</v>
      </c>
      <c r="CX8" s="108" t="s">
        <v>679</v>
      </c>
      <c r="CY8" s="109" t="s">
        <v>730</v>
      </c>
      <c r="CZ8" s="109" t="s">
        <v>680</v>
      </c>
      <c r="DA8" s="109" t="s">
        <v>681</v>
      </c>
    </row>
    <row r="9" spans="2:105" ht="44.25" customHeight="1" x14ac:dyDescent="0.25">
      <c r="B9" s="244"/>
      <c r="C9" s="71" t="str" cm="1">
        <f t="array" ref="C9">IFERROR(_xlfn.IFS($D9="Other", D9&amp;"_" &amp;Ref_Other_to,OR($D9="UK", $D9="US"),$D9),"")</f>
        <v/>
      </c>
      <c r="D9" s="71"/>
      <c r="E9" s="71"/>
      <c r="F9" s="71"/>
      <c r="G9" s="72"/>
      <c r="H9" s="72"/>
      <c r="I9" s="73"/>
      <c r="J9" s="73"/>
      <c r="K9" s="73"/>
      <c r="L9" s="73"/>
      <c r="M9" s="74"/>
      <c r="N9" s="75"/>
      <c r="O9" s="71"/>
      <c r="P9" s="165" t="str">
        <f>IFERROR(IF(AND(C9&lt;&gt;"US",G9="Vehicle Distance (e.g. Road Transport)"),(VLOOKUP(H9,'Reference - EF Road'!A235:R288,16, FALSE)),""),"")</f>
        <v/>
      </c>
      <c r="Q9" s="166" t="str">
        <f>IF(OR((
AND(D9="UK",OR(E9="Water",E9="Aircraft",E9="Rail"),OR(F9="Scope 1",F9="Scope 3"),G9="Vehicle Distance (e.g. Road Transport)")),
AND(OR(D9="UK",C9="Other_UK"),E9&lt;&gt;"Road",OR(F9="Scope 1",F9="Scope 3"),G9="Vehicle Distance (e.g. Road Transport)"),
AND(D9="US",E9&lt;&gt;"Road",G9="Vehicle Distance (e.g. Public or Freight Transport)"),
AND(OR(D9="US",C9="Other_US"),OR(E9="Water",E9="Offroad"),F9="Scope 3",G9="Passenger Distance (e.g. Public Transport)"),
AND(OR(D9="US",C9="Other_US"),E9="Offroad",F9="Scope 3",G9="Weight Distance (e.g. Freight Transport)"),
AND(D9="US",E9&lt;&gt;"Road",OR(F9="Scope 3",F9="Scope 1"),G9="Fuel Use and Vehicle Distance"),
AND(D9="Other",OR(E9&lt;&gt;"Road"),G9="Fuel Use and Vehicle Distance",OR(F9="Scope 1",F9="Scope 3"))),"Sorry, no emission factors are found in this tool based on your selections.",
IF(OR(
AND(D9="UK",G9="Fuel Use"),
AND(OR(D9="Other",D9="US"),E9="Road",G9="Fuel Use"),
AND(C9="Other_UK",OR(E9="Water",E9="Aircraft"),G9="Fuel Use")),"Sorry, emission factors are not available, in this tool, to calculate CH4 and N2O emissions with only fuel use activity data.",""))</f>
        <v/>
      </c>
      <c r="R9" s="78" t="str" cm="1">
        <f t="array" aca="1" ref="R9" ca="1">IFERROR(_xlfn.IFS(
AND(AA9&gt;0, OR($G9="Fuel Use",$G9="Custom Fuel")),$N9*$AA9*$AM9*$AN9,
AND(AA9&gt;0,$CZ9="Vehicle Distance (e.g. Road Transport)"),$I9*$AA9*$AM9*$AN9,
AND(AA9&gt;0,$CZ9="Vehicle Distance (e.g. Public or Freight Transport)"),$I9*$AA9*$AM9*$AN9,
AND(AA9&gt;0,$CZ9="Fuel Use and Vehicle Distance"),$N9*$AA9*$AM9*$AN9,
AND(AA9&gt;0,$CZ9="Passenger Distance (e.g. Public Transport)"),$DA9*$AA9*$AM9*$AN9,
AND(AA9&gt;0,$CZ9="Weight Distance (e.g. Freight Transport)"),$DA9*$AA9*$AM9*$AN9),"")</f>
        <v/>
      </c>
      <c r="S9" s="141" t="str" cm="1">
        <f t="array" aca="1" ref="S9" ca="1">IFERROR(_xlfn.IFS(
AND(AG9&gt;-1, $G9="Fuel Use and Vehicle Distance"),$I9*$AG9*$AQ9*$AR9,
AND(AG9&gt;-1, $G9="Vehicle Distance (e.g. Road Transport)"),$I9*$AG9*$AQ9*$AR9,
AND(AG9&gt;-1, $CZ9="Vehicle Distance (e.g. Public or Freight Transport)"),$I9*$AG9*$AQ9*$AR9,
AND(AG9&gt;-1, OR($G9="Fuel Use",$G9="Custom Fuel")), $N9*$AG9*$AQ9*$AR9*1000,
AND(AG9&gt;-1, $G9="Custom Vehicle"),$DA9*$AG9*$AQ9*$AR9*1000,
AND(AG9&gt;-1, AND($G9&lt;&gt;"Custom Vehicle",$CZ9="Weight Distance (e.g. Freight Transport)")),$DA9*$AG9*$AQ9*$AR9*1000,
AND(AG9&gt;-1, AND($G9&lt;&gt;"Custom Vehicle",$CZ9="Passenger Distance (e.g. Public Transport)")), $DA9*$AG9*$AQ9*$AR9*1000),"")</f>
        <v/>
      </c>
      <c r="T9" s="78" t="str" cm="1">
        <f t="array" aca="1" ref="T9" ca="1">IFERROR(_xlfn.IFS(
AND(AJ9&gt;0,$G9="Fuel Use and Vehicle Distance"),$I9*$AJ9*$AS9*$AT9,
AND(AJ9&gt;0,$G9="Vehicle Distance (e.g. Road Transport)"),$I9*$AJ9*$AS9*$AT9,
AND(AJ9&gt;0,$G9="Vehicle Distance (e.g. Public or Freight Transport)"),$I9*$AJ9*$AS9*$AT9,
AND(AJ9&gt;0,OR($G9="Fuel Use",$G9="Custom Fuel")), $N9*$AJ9*$AS9*$AT9*1000,
AND(AJ9&gt;0,$G9="Custom Vehicle"),$DA9*$AJ9*$AS9*$AT9*1000,
AND(AJ9&gt;0,AND($G9&lt;&gt;"Custom Vehicle",$CZ9="Weight Distance (e.g. Freight Transport)")),$DA9*$AJ9*$AS9*$AT9*1000,
AND(AJ9&gt;0,AND($G9&lt;&gt;"Custom Vehicle",$CZ9="Passenger Distance (e.g. Public Transport)")), $DA9*$AJ9*$AS9*$AT9*1000),"")</f>
        <v/>
      </c>
      <c r="U9" s="78" t="str">
        <f ca="1">IF(AND(ISERROR($R9*$AU9)=FALSE,ISERROR((S9/1000)*$AV9)=FALSE,ISERROR((T9/1000)*$AW9)=FALSE),($R9*$AU9)+((S9/1000)*$AV9)+((T9/1000)*$AW9),IF(AND(ISERROR($R9*$AU9)=FALSE,ISERROR((S9/1000)*$AV9)=FALSE,ISERROR((T9/1000)*$AW9)=TRUE),($R9*$AU9)+((S9/1000)*$AV9),IF(AND(ISERROR($R9*$AU9)=FALSE,ISERROR((S9/1000)*$AV9)=TRUE,ISERROR((T9/1000)*$AW9)=FALSE),($R9*$AU9)+((T9/1000)*$AW9),IF(AND(ISERROR($R9*$AU9)=FALSE,ISERROR((S9/1000)*$AV9)=TRUE,ISERROR((T9/1000)*$AW9)=TRUE),($R9*$AU9),IF(AND(ISERROR($R9*$AU9)=TRUE,ISERROR((S9/1000)*$AV9)=FALSE,ISERROR((T9/1000)*$AW9)=FALSE),((S9/1000)*$AV9)+((T9/1000)*$AW9),IF(AND(ISERROR($R9*$AU9)=TRUE,ISERROR((S9/1000)*$AV9)=FALSE,ISERROR((T9/1000)*$AW9)=TRUE),((S9/1000)*$AV9),CY9))))))</f>
        <v/>
      </c>
      <c r="V9" s="161" t="str" cm="1">
        <f t="array" aca="1" ref="V9" ca="1">IFERROR(_xlfn.IFS(
AND(AD9&gt;0,OR($CZ9="Fuel Use",$CZ9="Custom Fuel",$CZ9="Fuel Use and Vehicle Distance")),($N9*$AD9*$AO9*$AP9),
AND(AD9&gt;0,$G9="Custom Vehicle"),$DA9*$AD9*$AO9*$AP9,
AND(AD9&gt;0,$CZ9="Vehicle Distance (e.g. Public or Freight Transport)"),$I9*$AD9*$AM9*$AN9,
AND(AD9&gt;0,$CZ9="Weight Distance (e.g. Freight Transport)"),($I9*$K9*$AD9*$AO9*$AP9),
AND(AD9&gt;0,$CZ9="Passenger Distance (e.g. Public Transport)"),$I9*$L9*$AD9*$AO9*$AP9,
AND(AD9&gt;0,$CZ9="Vehicle Distance (e.g. Road Transport)"),($I9*$AD9*$AO9*$AP9)),"")</f>
        <v/>
      </c>
      <c r="W9" s="164" t="str" cm="1">
        <f t="array" aca="1" ref="W9" ca="1">IFERROR(_xlfn.IFS(AND(ISNUMBER(R9),AA9=0),AA9&amp;" "&amp;"("&amp;AB9&amp;" CO2/"&amp;AC9&amp;")",AND(ISNUMBER(R9),AA9&gt;0),ROUND(AA9,INT(3-LOG(AA9)))&amp;" "&amp;"("&amp;AB9&amp;" CO2/"&amp;AC9&amp;")"),"")</f>
        <v/>
      </c>
      <c r="X9" s="164" t="str" cm="1">
        <f t="array" aca="1" ref="X9" ca="1">IFERROR(_xlfn.IFS(AND(ISNUMBER(S9), AG9=0),AG9&amp;" "&amp;"("&amp;AH9&amp;" CH4/"&amp;AI9&amp;")",AND(ISNUMBER(S9), AG9&gt;0),ROUND(AG9,INT(3-LOG(AG9)))&amp;" "&amp;"("&amp;AH9&amp;" CH4/"&amp;AI9&amp;")"),"")</f>
        <v/>
      </c>
      <c r="Y9" s="164" t="str" cm="1">
        <f t="array" aca="1" ref="Y9" ca="1">IFERROR(_xlfn.IFS(AND(ISNUMBER(T9), AJ9=0),AJ9&amp;" "&amp;"("&amp;AK9&amp;" CH4/"&amp;AL9&amp;")",AND(ISNUMBER(T9), AJ9&gt;0),ROUND(AJ9,INT(3-LOG(AJ9)))&amp;" "&amp;"("&amp;AK9&amp;" N2O/"&amp;AL9&amp;")"),"")</f>
        <v/>
      </c>
      <c r="Z9" s="245" t="str" cm="1">
        <f t="array" aca="1" ref="Z9" ca="1">IFERROR(_xlfn.IFS(AND(ISNUMBER(V9),AD9=0),AD9&amp;" "&amp;"("&amp;AE9&amp;" CO2/"&amp;AF9&amp;")",AND(ISNUMBER(V9),AD9&gt;0),ROUND(AD9,INT(3-LOG(AD9)))&amp;" "&amp;"("&amp;AE9&amp;" CO2/"&amp;AF9&amp;")"),"")</f>
        <v/>
      </c>
      <c r="AA9" s="240" t="str" cm="1">
        <f t="array" aca="1" ref="AA9" ca="1">IFERROR(_xlfn.IFS(
OR($G9="Fuel Use",$G9="Fuel Use and Vehicle Distance"),VLOOKUP($M9,INDIRECT("Ref_EF_ByFuel"&amp;"_"&amp;$C9),3,0),
$G9="Vehicle Distance (e.g. Road Transport)",VLOOKUP($H9,INDIRECT("Ref_EF_Vehicle_Distance"&amp;"_"&amp;$C9),3,0),
$G9="Vehicle Distance (e.g. Public or Freight Transport)",VLOOKUP($H9,INDIRECT("Ref_EF_Vehicle_Distance_S3"&amp;"_"&amp;$C9),3,0),
$G9="Custom Vehicle",VLOOKUP($H9,Tbl_vehical_Settings,2,0),
$G9="Custom Fuel",VLOOKUP($M9,Tbl_Fuel_Settings,2,0),
$G9="Weight Distance (e.g. Freight Transport)",VLOOKUP($H9,INDIRECT("Ref_EF_Weight_Distance"&amp;"_"&amp;$C9),3,0),
$G9="Passenger Distance (e.g. Public Transport)",VLOOKUP($H9,INDIRECT("Ref_EF_Public_Transport"&amp;"_"&amp;$C9),3,0)),"")</f>
        <v/>
      </c>
      <c r="AB9" s="31" t="str" cm="1">
        <f t="array" aca="1" ref="AB9" ca="1">IFERROR(_xlfn.IFS(
OR($G9="Fuel Use",$G9="Fuel Use and Vehicle Distance"),VLOOKUP($M9,INDIRECT("Ref_EF_ByFuel"&amp;"_"&amp;$C9),5,0),
$G9="Vehicle Distance (e.g. Road Transport)",VLOOKUP($H9,INDIRECT("Ref_EF_Vehicle_Distance"&amp;"_"&amp;$C9),5,0),
$G9="Vehicle Distance (e.g. Public or Freight Transport)",VLOOKUP($H9,INDIRECT("Ref_EF_Vehicle_Distance_S3"&amp;"_"&amp;$C9),5,0),
$G9="Custom Vehicle",VLOOKUP($H9,Tbl_vehical_Settings,6,0),
$G9="Custom Fuel",VLOOKUP($M9,Tbl_Fuel_Settings,6,0),
$G9="Weight Distance (e.g. Freight Transport)",VLOOKUP($H9,INDIRECT("Ref_EF_Weight_Distance"&amp;"_"&amp;$C9),5,0),
$G9="Passenger Distance (e.g. Public Transport)",VLOOKUP($H9,INDIRECT("Ref_EF_Public_Transport"&amp;"_"&amp;$C9),5,0)),"")</f>
        <v/>
      </c>
      <c r="AC9" s="31" t="str" cm="1">
        <f t="array" aca="1" ref="AC9" ca="1">IFERROR(_xlfn.IFS(
OR($G9="Fuel Use",$G9="Fuel Use and Vehicle Distance"),VLOOKUP($M9,INDIRECT("Ref_EF_ByFuel"&amp;"_"&amp;$C9),6,0),
$G9="Vehicle Distance (e.g. Road Transport)",VLOOKUP($H9,INDIRECT("Ref_EF_Vehicle_Distance"&amp;"_"&amp;$C9),6,0),
$G9="Vehicle Distance (e.g. Public or Freight Transport)",VLOOKUP($H9,INDIRECT("Ref_EF_Vehicle_Distance_S3"&amp;"_"&amp;$C9),6,0),
$G9="Custom Vehicle",VLOOKUP($H9,Tbl_vehical_Settings,7,0),
$G9="Custom Fuel",VLOOKUP($M9,Tbl_Fuel_Settings,7,0),
$G9="Weight Distance (e.g. Freight Transport)",VLOOKUP($H9,INDIRECT("Ref_EF_Weight_Distance"&amp;"_"&amp;$C9),6,0),
$G9="Passenger Distance (e.g. Public Transport)",VLOOKUP($H9,INDIRECT("Ref_EF_Public_Transport"&amp;"_"&amp;$C9),6,0)),"")</f>
        <v/>
      </c>
      <c r="AD9" s="31" t="str" cm="1">
        <f t="array" aca="1" ref="AD9" ca="1">IFERROR(_xlfn.IFS(
OR($G9="Fuel Use",$G9="Fuel Use and Vehicle Distance"),VLOOKUP($M9,INDIRECT("Ref_EF_ByFuel"&amp;"_"&amp;$C9),4,0),
$G9="Vehicle Distance (e.g. Road Transport)",VLOOKUP($H9,INDIRECT("Ref_EF_Vehicle_Distance"&amp;"_"&amp;$C9),4,0),
$G9="Vehicle Distance (e.g. Public or Freight Transport)",VLOOKUP($H9,INDIRECT("Ref_EF_Vehicle_Distance_S3"&amp;"_"&amp;$C9),4,0),
$G9="Custom Vehicle",VLOOKUP($H9,Tbl_vehical_Settings,5,0),
$G9="Custom Fuel",VLOOKUP($M9,Tbl_Fuel_Settings,5,0),
$G9="Weight Distance (e.g. Freight Transport)",VLOOKUP($H9,INDIRECT("Ref_EF_Weight_Distance"&amp;"_"&amp;$C9),4,0),
$G9="Passenger Distance (e.g. Public Transport)",VLOOKUP($H9,INDIRECT("Ref_EF_Public_Transport"&amp;"_"&amp;$C9),4,0)),"")</f>
        <v/>
      </c>
      <c r="AE9" s="31" t="str" cm="1">
        <f t="array" aca="1" ref="AE9" ca="1">IFERROR(_xlfn.IFS(
OR($G9="Fuel Use",$G9="Fuel Use and Vehicle Distance"),VLOOKUP($M9,INDIRECT("Ref_EF_ByFuel"&amp;"_"&amp;$C9),5,0),
$G9="Vehicle Distance (e.g. Road Transport)",VLOOKUP($H9,INDIRECT("Ref_EF_Vehicle_Distance"&amp;"_"&amp;$C9),5,0),
$G9="Vehicle Distance (e.g. Public or Freight Transport)",VLOOKUP($H9,INDIRECT("Ref_EF_Vehicle_Distance_S3"&amp;"_"&amp;$C9),5,0),
$G9="Custom Vehicle",VLOOKUP($H9,Tbl_vehical_Settings,6,0),
$G9="Custom Fuel",VLOOKUP($M9,Tbl_Fuel_Settings,6,0),
$G9="Weight Distance (e.g. Freight Transport)",VLOOKUP($H9,INDIRECT("Ref_EF_Weight_Distance"&amp;"_"&amp;$C9),5,0),
$G9="Passenger Distance (e.g. Public Transport)",VLOOKUP($H9,INDIRECT("Ref_EF_Public_Transport"&amp;"_"&amp;$C9),5,0)),"")</f>
        <v/>
      </c>
      <c r="AF9" s="31" t="str" cm="1">
        <f t="array" aca="1" ref="AF9" ca="1">IFERROR(_xlfn.IFS(
OR($G9="Fuel Use",$G9="Fuel Use and Vehicle Distance"),VLOOKUP($M9,INDIRECT("Ref_EF_ByFuel"&amp;"_"&amp;$C9),6,0),
$G9="Vehicle Distance (e.g. Road Transport)",VLOOKUP($H9,INDIRECT("Ref_EF_Vehicle_Distance"&amp;"_"&amp;$C9),6,0),
$G9="Vehicle Distance (e.g. Public or Freight Transport)",VLOOKUP($H9,INDIRECT("Ref_EF_Vehicle_Distance_S3"&amp;"_"&amp;$C9),6,0),
$G9="Custom Vehicle",VLOOKUP($H9,Tbl_vehical_Settings,7,0),
$G9="Custom Fuel",VLOOKUP($M9,Tbl_Fuel_Settings,7,0),
$G9="Weight Distance (e.g. Freight Transport)",VLOOKUP($H9,INDIRECT("Ref_EF_Weight_Distance"&amp;"_"&amp;$C9),6,0),
$G9="Passenger Distance (e.g. Public Transport)",VLOOKUP($H9,INDIRECT("Ref_EF_Public_Transport"&amp;"_"&amp;$C9),6,0)),"")</f>
        <v/>
      </c>
      <c r="AG9" s="31" t="str" cm="1">
        <f t="array" aca="1" ref="AG9" ca="1">IFERROR(_xlfn.IFS(
AND($G9="Fuel Use",$E9&lt;&gt;"Road"),VLOOKUP($H9,INDIRECT("Ref_EF_ByFuel_CH4"&amp;"_"&amp;$C9),3,0),
$G9="Vehicle Distance (e.g. Road Transport)",VLOOKUP($H9,INDIRECT("Ref_EF_Vehicle_Distance"&amp;"_"&amp;$C9),7,0),
$G9="Vehicle Distance (e.g. Public or Freight Transport)",VLOOKUP($H9,INDIRECT("Ref_EF_Vehicle_Distance_S3"&amp;"_"&amp;$C9),7,0),
$G9="Fuel Use and Vehicle Distance",VLOOKUP($H9,INDIRECT("Ref_EF_Fuel_Vehicle_Distance"&amp;"_"&amp;$C9),3,0),
$G9="Custom Vehicle",VLOOKUP($H9,Tbl_vehical_Settings,3,0),
$G9="Custom Fuel",VLOOKUP($M9,Tbl_Fuel_Settings,3,0),
$G9="Weight Distance (e.g. Freight Transport)",VLOOKUP($H9,INDIRECT("Ref_EF_Weight_Distance_CH4"&amp;"_"&amp;$C9),3,0),
$G9="Passenger Distance (e.g. Public Transport)",VLOOKUP($H9,INDIRECT("Ref_EF_Public_Transport_CH4"&amp;"_"&amp;$C9),7,0)),"")</f>
        <v/>
      </c>
      <c r="AH9" s="31" t="str" cm="1">
        <f t="array" aca="1" ref="AH9" ca="1">IFERROR(_xlfn.IFS(
AND($G9="Fuel Use",$E9&lt;&gt;"Road"),VLOOKUP($H9,INDIRECT("Ref_EF_ByFuel_CH4"&amp;"_"&amp;$C9),4,0),
$G9="Vehicle Distance (e.g. Road Transport)",VLOOKUP($H9,INDIRECT("Ref_EF_Vehicle_Distance"&amp;"_"&amp;$C9),8,0),
$G9="Vehicle Distance (e.g. Public or Freight Transport)",VLOOKUP($H9,INDIRECT("Ref_EF_Vehicle_Distance_S3"&amp;"_"&amp;$C9),8,0),
$G9="Fuel Use and Vehicle Distance",VLOOKUP($H9,INDIRECT("Ref_EF_Fuel_Vehicle_Distance"&amp;"_"&amp;$C9),4,0),
$G9="Custom Vehicle",VLOOKUP($H9,Tbl_vehical_Settings,6,0),
$G9="Custom Fuel",VLOOKUP($M9,Tbl_Fuel_Settings,6,0),
$G9="Weight Distance (e.g. Freight Transport)",VLOOKUP($H9,INDIRECT("Ref_EF_Weight_Distance_CH4"&amp;"_"&amp;$C9),4,0),
$G9="Passenger Distance (e.g. Public Transport)",VLOOKUP($H9,INDIRECT("Ref_EF_Public_Transport_CH4"&amp;"_"&amp;$C9),8,0)),"")</f>
        <v/>
      </c>
      <c r="AI9" s="31" t="str" cm="1">
        <f t="array" aca="1" ref="AI9" ca="1">IFERROR(_xlfn.IFS(
AND($G9="Fuel Use",$E9&lt;&gt;"Road"),VLOOKUP($H9,INDIRECT("Ref_EF_ByFuel_CH4"&amp;"_"&amp;$C9),5,0),
$G9="Vehicle Distance (e.g. Road Transport)",VLOOKUP($H9,INDIRECT("Ref_EF_Vehicle_Distance"&amp;"_"&amp;$C9),9,0),
$G9="Vehicle Distance (e.g. Public or Freight Transport)",VLOOKUP($H9,INDIRECT("Ref_EF_Vehicle_Distance_S3"&amp;"_"&amp;$C9),9,0),
$G9="Fuel Use and Vehicle Distance",VLOOKUP($H9,INDIRECT("Ref_EF_Fuel_Vehicle_Distance"&amp;"_"&amp;$C9),5,0),
$G9="Custom Vehicle",VLOOKUP($H9,Tbl_vehical_Settings,7,0),
$G9="Custom Fuel",VLOOKUP($M9,Tbl_Fuel_Settings,7,0),
$G9="Weight Distance (e.g. Freight Transport)",VLOOKUP($H9,INDIRECT("Ref_EF_Weight_Distance_CH4"&amp;"_"&amp;$C9),5,0),
$G9="Passenger Distance (e.g. Public Transport)",VLOOKUP($H9,INDIRECT("Ref_EF_Public_Transport_CH4"&amp;"_"&amp;$C9),9,0)),"")</f>
        <v/>
      </c>
      <c r="AJ9" s="31" t="str" cm="1">
        <f t="array" aca="1" ref="AJ9" ca="1">IFERROR(_xlfn.IFS(
AND($G9="Fuel Use",$E9&lt;&gt;"Road"),VLOOKUP($H9,INDIRECT("Ref_EF_ByFuel_CH4"&amp;"_"&amp;$C9),6,0),
$G9="Vehicle Distance (e.g. Road Transport)",VLOOKUP($H9,INDIRECT("Ref_EF_Vehicle_Distance"&amp;"_"&amp;$C9),10,0),
$G9="Vehicle Distance (e.g. Public or Freight Transport)",VLOOKUP($H9,INDIRECT("Ref_EF_Vehicle_Distance_S3"&amp;"_"&amp;$C9),10,0),
$G9="Fuel Use and Vehicle Distance",VLOOKUP($H9,INDIRECT("Ref_EF_Fuel_Vehicle_Distance"&amp;"_"&amp;$C9),6,0),
$G9="Custom Vehicle",VLOOKUP($H9,Tbl_vehical_Settings,4,0),
$G9="Custom Fuel",VLOOKUP($M9,Tbl_Fuel_Settings,4,0),
$G9="Weight Distance (e.g. Freight Transport)",VLOOKUP($H9,INDIRECT("Ref_EF_Weight_Distance_CH4"&amp;"_"&amp;$C9),6,0),
$G9="Passenger Distance (e.g. Public Transport)",VLOOKUP($H9,INDIRECT("Ref_EF_Public_Transport_CH4"&amp;"_"&amp;$C9),10,0)),"")</f>
        <v/>
      </c>
      <c r="AK9" s="31" t="str" cm="1">
        <f t="array" aca="1" ref="AK9" ca="1">IFERROR(_xlfn.IFS(
AND($G9="Fuel Use",$E9&lt;&gt;"Road"),VLOOKUP($H9,INDIRECT("Ref_EF_ByFuel_CH4"&amp;"_"&amp;$C9),7,0),
$G9="Vehicle Distance (e.g. Road Transport)",VLOOKUP($H9,INDIRECT("Ref_EF_Vehicle_Distance"&amp;"_"&amp;$C9),11,0),
$G9="Vehicle Distance (e.g. Public or Freight Transport)",VLOOKUP($H9,INDIRECT("Ref_EF_Vehicle_Distance_S3"&amp;"_"&amp;$C9),11,0),
$G9="Fuel Use and Vehicle Distance",VLOOKUP($H9,INDIRECT("Ref_EF_Fuel_Vehicle_Distance"&amp;"_"&amp;$C9),7,0),
$G9="Custom Vehicle",VLOOKUP($H9,Tbl_vehical_Settings,6,0),
$G9="Custom Fuel",VLOOKUP($M9,Tbl_Fuel_Settings,6,0),
$G9="Weight Distance (e.g. Freight Transport)",VLOOKUP($H9,INDIRECT("Ref_EF_Weight_Distance_CH4"&amp;"_"&amp;$C9),7,0),
$G9="Passenger Distance (e.g. Public Transport)",VLOOKUP($H9,INDIRECT("Ref_EF_Public_Transport_CH4"&amp;"_"&amp;$C9),11,0)),"")</f>
        <v/>
      </c>
      <c r="AL9" s="31" t="str" cm="1">
        <f t="array" aca="1" ref="AL9" ca="1">IFERROR(_xlfn.IFS(
AND($G9="Fuel Use",$E9&lt;&gt;"Road"),VLOOKUP($H9,INDIRECT("Ref_EF_ByFuel_CH4"&amp;"_"&amp;$C9),8,0),
$G9="Vehicle Distance (e.g. Road Transport)",VLOOKUP($H9,INDIRECT("Ref_EF_Vehicle_Distance"&amp;"_"&amp;$C9),12,0),
$G9="Vehicle Distance (e.g. Public or Freight Transport)",VLOOKUP($H9,INDIRECT("Ref_EF_Vehicle_Distance_S3"&amp;"_"&amp;$C9),12,0),
$G9="Fuel Use and Vehicle Distance",VLOOKUP($H9,INDIRECT("Ref_EF_Fuel_Vehicle_Distance"&amp;"_"&amp;$C9),8,0),
$G9="Custom Vehicle",VLOOKUP($H9,Tbl_vehical_Settings,7,0),
$G9="Custom Fuel",VLOOKUP($M9,Tbl_Fuel_Settings,7,0),
$G9="Weight Distance (e.g. Freight Transport)",VLOOKUP($H9,INDIRECT("Ref_EF_Weight_Distance_CH4"&amp;"_"&amp;$C9),8,0),
$G9="Passenger Distance (e.g. Public Transport)",VLOOKUP($H9,INDIRECT("Ref_EF_Public_Transport_CH4"&amp;"_"&amp;$C9),12,0)),"")</f>
        <v/>
      </c>
      <c r="AM9" s="31" t="e">
        <f ca="1">INDEX(Ref_Master_Unit_Table,MATCH($AB9,REF_To_Unit,0),MATCH('Reference - Lookup and Unit'!$A$11,Ref_From_Units,0))</f>
        <v>#N/A</v>
      </c>
      <c r="AN9" s="31" t="e">
        <f t="shared" ref="AN9:AN53" ca="1" si="0">INDEX(Ref_Master_Unit_Table,MATCH(IF(AND($C9="UK",$G9="Vehicle Distance (e.g. Road Transport)"),$J9,IF(ISBLANK($O9),$J9,$O9)),Ref_From_Units,0),MATCH($AC9,REF_To_Unit,0))</f>
        <v>#N/A</v>
      </c>
      <c r="AO9" s="31" t="e">
        <f ca="1">INDEX(Ref_Master_Unit_Table,MATCH($AE9,REF_To_Unit,0),MATCH('Reference - Lookup and Unit'!$A$11,Ref_From_Units,0))</f>
        <v>#N/A</v>
      </c>
      <c r="AP9" s="31" t="e">
        <f t="shared" ref="AP9:AP18" ca="1" si="1">INDEX(Ref_Master_Unit_Table,MATCH(IF(AND($C9="UK",$G9="Vehicle Distance (e.g. Road Transport)"),$J9,IF(ISBLANK($O9),$J9,$O9)),Ref_From_Units,0),MATCH($AF9,REF_To_Unit,0))</f>
        <v>#N/A</v>
      </c>
      <c r="AQ9" s="31" t="e">
        <f ca="1">INDEX(Ref_Master_Unit_Table,MATCH($AH9,REF_To_Unit,0),MATCH('Reference - Lookup and Unit'!$A$11,Ref_From_Units,0))</f>
        <v>#N/A</v>
      </c>
      <c r="AR9" s="31" t="e">
        <f t="shared" ref="AR9:AR18" ca="1" si="2">INDEX(Ref_Master_Unit_Table,MATCH(IF(OR($G9="Fuel Use",$G9="Custom Fuel"),$O9,$J9),Ref_From_Units,0),MATCH($AI9,REF_To_Unit,0))</f>
        <v>#N/A</v>
      </c>
      <c r="AS9" s="31" t="e">
        <f ca="1">INDEX(Ref_Master_Unit_Table,MATCH($AK9,REF_To_Unit,0),MATCH('Reference - Lookup and Unit'!$A$11,Ref_From_Units,0))</f>
        <v>#N/A</v>
      </c>
      <c r="AT9" s="31" t="e">
        <f t="shared" ref="AT9:AT18" ca="1" si="3">INDEX(Ref_Master_Unit_Table,MATCH(IF(OR($G9="Fuel Use",$G9="Custom Fuel"),$O9,$J9),Ref_From_Units,0),MATCH($AI9,REF_To_Unit,0))</f>
        <v>#N/A</v>
      </c>
      <c r="AU9" s="31" t="e" cm="1">
        <f t="array" aca="1" ref="AU9"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9" s="31" t="e" cm="1">
        <f t="array" aca="1" ref="AV9" ca="1">VLOOKUP("CH4",INDIRECT(_xlfn.IFS(
Setting_IPCC_GWP_VERSION="2007 IPCC Fourth Assessment Report (AR4)","Ref_EF_IPCC_GWP_2007",
Setting_IPCC_GWP_VERSION="2014 IPCC Fifth Assessment Report (AR5)","Ref_EF_IPCC_GWP_2014",
Setting_IPCC_GWP_VERSION="2021 IPCC Sixth Assessment Report (AR6)","Ref_EF_IPCC_GWP_2021")),2,0)</f>
        <v>#N/A</v>
      </c>
      <c r="AW9" s="31" t="e" cm="1">
        <f t="array" aca="1" ref="AW9" ca="1">VLOOKUP("N2O",INDIRECT(_xlfn.IFS(
Setting_IPCC_GWP_VERSION="2007 IPCC Fourth Assessment Report (AR4)","Ref_EF_IPCC_GWP_2007",
Setting_IPCC_GWP_VERSION="2014 IPCC Fifth Assessment Report (AR5)","Ref_EF_IPCC_GWP_2014",
Setting_IPCC_GWP_VERSION="2021 IPCC Sixth Assessment Report (AR6)","Ref_EF_IPCC_GWP_2021")),2,0)</f>
        <v>#N/A</v>
      </c>
      <c r="AX9" s="31" t="e" cm="1">
        <f t="array" aca="1" ref="AX9"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9" s="25" t="e" cm="1">
        <f t="array" ref="AY9">_xlfn.IFS(
AND($E9&lt;&gt;"",$G9="Custom Fuel"),("Settings_Custom_Fuels"),
AND($E9&lt;&gt;"",$G9="Custom vehicle"),("Settings_Custom_Vehicle"),
AND($E9&lt;&gt;"",$G9="Fuel Use"),("Ref_DD_vehicle_FuelUse"&amp;"_"&amp;C9&amp;"_"&amp;E9),
AND($E9&lt;&gt;"",$G9="Fuel Use and Vehicle Distance"),("Ref_DD_Fuel_VehicleDistance"&amp;"_"&amp;C9&amp;"_"&amp;E9),
AND($E9&lt;&gt;"",$G9="Vehicle Distance (e.g. Road Transport)"),("Ref_DD_vehicle_VehicleDistance"&amp;"_"&amp;C9&amp;"_"&amp;E9),
AND($E9&lt;&gt;"",$G9="Weight Distance (e.g. Freight Transport)"),("Ref_DD_vehicle_WeightDistance"&amp;"_"&amp;C9&amp;"_"&amp;E9),
AND($E9&lt;&gt;"",$G9="Vehicle Distance (e.g. Public or Freight Transport)"),("Ref_DD_vehicle_DistanceS3"&amp;"_"&amp;C9),
AND($E9&lt;&gt;"",$G9="Passenger Distance (e.g. Public Transport)"),("Ref_DD_vehicle_Passenger"&amp;"_"&amp;C9&amp;"_"&amp;E9),
AND($E9="",$G9="Fuel Use"),("Ref_DD_vehicle_FuelUse"&amp;"_"&amp;C9),
AND($E9="",OR($G9="Vehicle Distance (e.g. Road Transport)",$G9="Fuel Use and Vehicle Distance")),("Ref_DD_vehicle_VehicleDistance"&amp;"_"&amp;C9),
AND($E9="",$G9="Weight Distance (e.g. Freight Transport)"),("Ref_DD_vehicle_WeightDistance"&amp;"_"&amp;C9),
AND($E9="",$G9="Vehicle Distance (e.g. Public or Freight Transport)"),("Ref_DD_vehicle_DistanceS3"&amp;"_"&amp;C9),
AND($E9="",$G9="Passenger Distance (e.g. Public Transport)"),("Ref_DD_vehicle_Passenger"&amp;"_"&amp;C9))</f>
        <v>#N/A</v>
      </c>
      <c r="AZ9" s="25" t="b">
        <f t="shared" ref="AZ9:AZ53" ca="1" si="4">IF(ISERROR(COLUMN(INDIRECT($AY9))),FALSE,TRUE)</f>
        <v>0</v>
      </c>
      <c r="BA9" s="25" t="str">
        <f t="shared" ref="BA9:BA53" si="5">IF(AND($F9="Scope 1",OR($G9="Fuel Use",$G9="Custom Fuel",$G9="Fuel Use and Vehicle Distance")),$R9,IF(AND($F9="Scope 1",OR($G9="Vehicle Distance (e.g. Road Transport)",$G9="Custom Vehicle"),ISBLANK($N9)=FALSE),$R9,""))</f>
        <v/>
      </c>
      <c r="BB9" s="25" t="str">
        <f t="shared" ref="BB9:BB53" si="6">IF(AND($F9="Scope 1",AND(OR($G9="Vehicle Distance (e.g. Road Transport)",$G9="Custom Vehicle"),OR($C9="US",$C9="Other"),ISBLANK($N9)=TRUE)),$R9,IF(AND($F9="Scope 1",$G9&lt;&gt;"Fuel Use",ISBLANK($N9)=TRUE),$R9,""))</f>
        <v/>
      </c>
      <c r="BC9" s="25" t="str">
        <f>IF(AND(OR(G9="Fuel Use",G9="Custom Fuel"),F9="Scope 1",ISBLANK(I9)=TRUE),S9,"")</f>
        <v/>
      </c>
      <c r="BD9" s="25" t="str">
        <f>IF(AND(OR(G9="Fuel Use",G9="Custom Fuel"),F9="Scope 1",ISBLANK(I9)=FALSE),S9,IF(AND(G9&lt;&gt;"Fuel Use",G9&lt;&gt;"Custom Fuel",F9="Scope 1"),S9,""))</f>
        <v/>
      </c>
      <c r="BE9" s="25" t="str">
        <f>IF(AND(OR(G9="Fuel Use",G9="Custom Fuel"),F9="Scope 1",ISBLANK(I9)=TRUE),T9,"")</f>
        <v/>
      </c>
      <c r="BF9" s="25" t="str">
        <f>IF(AND(OR(G9="Fuel Use",G9="Custom Fuel"),F9="Scope 1",ISBLANK(I9)=FALSE),T9,IF(AND(G9&lt;&gt;"Fuel Use",G9&lt;&gt;"Custom Fuel",F9="Scope 1"),T9,""))</f>
        <v/>
      </c>
      <c r="BG9" s="25" t="str">
        <f t="shared" ref="BG9:BG53" si="7">IF(AND($F9="Scope 3",OR($G9="Fuel Use",$G9="Custom Fuel",$G9="Fuel Use and Vehicle Distance")),$R9,IF(AND($F9="Scope 3",OR($G9="Vehicle Distance (e.g. Road Transport)",$G9="Custom Vehicle"),ISBLANK($N9)=FALSE),$R9,""))</f>
        <v/>
      </c>
      <c r="BH9" s="25" t="str">
        <f t="shared" ref="BH9:BH53" si="8">IF(AND($F9="Scope 3",AND(OR($G9="Vehicle Distance (e.g. Road Transport)",$G9="Custom Vehicle",$G9="Vehicle Distance (e.g. Public or Freight)"),OR($C9="US",$C9="Other"),ISBLANK($N9)=TRUE)),$R9,IF(AND($F9="Scope 3",$G9&lt;&gt;"Fuel Use",ISBLANK($N9)=TRUE),$R9,""))</f>
        <v/>
      </c>
      <c r="BI9" s="25" t="str">
        <f>IF(AND(OR(G9="Fuel Use",G9="Custom Fuel"),F9="Scope 3",ISBLANK(I9)=TRUE),S9,"")</f>
        <v/>
      </c>
      <c r="BJ9" s="25" t="str">
        <f>IF(AND(OR(G9="Fuel Use",G9="Custom Fuel"),F9="Scope 3",ISBLANK(I9)=FALSE),S9,IF(AND(G9&lt;&gt;"Fuel Use",G9&lt;&gt;"Custom Fuel",F9="Scope 3"),S9,""))</f>
        <v/>
      </c>
      <c r="BK9" s="25" t="str">
        <f>IF(AND(OR(G9="Fuel Use",G9="Custom Fuel"),F9="Scope 3",ISBLANK(I9)=TRUE),T9,"")</f>
        <v/>
      </c>
      <c r="BL9" s="25" t="str">
        <f>IF(AND(OR(G9="Fuel Use",G9="Custom Fuel"),F9="Scope 3",ISBLANK(I9)=FALSE),T9,IF(AND(G9&lt;&gt;"Fuel Use",G9&lt;&gt;"Custom Fuel",F9="Scope 3"),T9,""))</f>
        <v/>
      </c>
      <c r="BM9" s="25" t="str">
        <f t="shared" ref="BM9:BM53" si="9">IF(OR($G9="Fuel Use",$G9="Custom Fuel"),$V9,IF(AND(OR($G9="Vehicle Distance (e.g. Road Transport)",$G9="Custom Vehicle"),ISBLANK($N9)=FALSE),$V9,""))</f>
        <v/>
      </c>
      <c r="BN9" s="25" t="str">
        <f t="shared" ref="BN9:BN53" ca="1" si="10">IF(AND(AND(OR($G9="Vehicle Distance (e.g. Road Transport)",$G9="Custom Vehicle"),OR($C9="US",$C9="Other"),ISBLANK($N9)=TRUE)),$V9,IF(AND($G9&lt;&gt;"Fuel Use",ISBLANK($N9)=TRUE),$V9,""))</f>
        <v/>
      </c>
      <c r="BO9" s="25" t="str">
        <f t="shared" ref="BO9:BO53" si="11">IF(AND($E9="Road",$F9="Scope 1"),$R9,"")</f>
        <v/>
      </c>
      <c r="BP9" s="25" t="str">
        <f t="shared" ref="BP9:BP53" si="12">IF(AND($E9="Rail",$F9="Scope 1"),$R9,"")</f>
        <v/>
      </c>
      <c r="BQ9" s="25" t="str">
        <f t="shared" ref="BQ9:BQ53" si="13">IF(AND($E9="Water",$F9="Scope 1"),$R9,"")</f>
        <v/>
      </c>
      <c r="BR9" s="25" t="str">
        <f t="shared" ref="BR9:BR53" si="14">IF(AND($E9="AirCraft",$F9="Scope 1"),$R9,"")</f>
        <v/>
      </c>
      <c r="BS9" s="25" t="str">
        <f t="shared" ref="BS9:BS53" si="15">IF(AND($E9="Offroad",$F9="Scope 1"),$R9,"")</f>
        <v/>
      </c>
      <c r="BT9" s="25" t="str">
        <f t="shared" ref="BT9:BT53" si="16">IF(AND($E9="Road",$F9="Scope 1"),$S9,"")</f>
        <v/>
      </c>
      <c r="BU9" s="25" t="str">
        <f t="shared" ref="BU9:BU53" si="17">IF(AND($E9="Rail",$F9="Scope 1"),$S9,"")</f>
        <v/>
      </c>
      <c r="BV9" s="25" t="str">
        <f t="shared" ref="BV9:BV53" si="18">IF(AND($E9="Water",$F9="Scope 1"),$S9,"")</f>
        <v/>
      </c>
      <c r="BW9" s="25" t="str">
        <f t="shared" ref="BW9:BW53" si="19">IF(AND($E9="Aircraft",$F9="Scope 1"),$S9,"")</f>
        <v/>
      </c>
      <c r="BX9" s="25" t="str">
        <f t="shared" ref="BX9:BX53" si="20">IF(AND($E9="Offroad",$F9="Scope 1"),$S9,"")</f>
        <v/>
      </c>
      <c r="BY9" s="25" t="str">
        <f t="shared" ref="BY9:BY53" si="21">IF(AND($E9="Road",$F9="Scope 1"),$T9,"")</f>
        <v/>
      </c>
      <c r="BZ9" s="25" t="str">
        <f t="shared" ref="BZ9:BZ53" si="22">IF(AND($E9="Rail",$F9="Scope 1"),$T9,"")</f>
        <v/>
      </c>
      <c r="CA9" s="25" t="str">
        <f t="shared" ref="CA9:CA53" si="23">IF(AND($E9="Water",$F9="Scope 1"),$T9,"")</f>
        <v/>
      </c>
      <c r="CB9" s="25" t="str">
        <f t="shared" ref="CB9:CB53" si="24">IF(AND($E9="Aircraft",$F9="Scope 1"),$T9,"")</f>
        <v/>
      </c>
      <c r="CC9" s="25" t="str">
        <f t="shared" ref="CC9:CC53" si="25">IF(AND($E9="Offroad",$F9="Scope 1"),$T9,"")</f>
        <v/>
      </c>
      <c r="CD9" s="25" t="str">
        <f t="shared" ref="CD9:CD53" si="26">IF(AND($E9="Road",$F9="Scope 3"),$R9,"")</f>
        <v/>
      </c>
      <c r="CE9" s="25" t="str">
        <f t="shared" ref="CE9:CE53" si="27">IF(AND($E9="Rail",$F9="Scope 3"),$R9,"")</f>
        <v/>
      </c>
      <c r="CF9" s="25" t="str">
        <f t="shared" ref="CF9:CF53" si="28">IF(AND($E9="Water",$F9="Scope 3"),$R9,"")</f>
        <v/>
      </c>
      <c r="CG9" s="25" t="str">
        <f t="shared" ref="CG9:CG53" si="29">IF(AND($E9="AirCraft",$F9="Scope 3"),$R9,"")</f>
        <v/>
      </c>
      <c r="CH9" s="25" t="str">
        <f t="shared" ref="CH9:CH53" si="30">IF(AND($E9="Offroad",$F9="Scope 3"),$R9,"")</f>
        <v/>
      </c>
      <c r="CI9" s="25" t="str">
        <f t="shared" ref="CI9:CI53" si="31">IF(AND($E9="Road",$F9="Scope 3"),$S9,"")</f>
        <v/>
      </c>
      <c r="CJ9" s="25" t="str">
        <f t="shared" ref="CJ9:CJ53" si="32">IF(AND($E9="Rail",$F9="Scope 3"),$S9,"")</f>
        <v/>
      </c>
      <c r="CK9" s="25" t="str">
        <f t="shared" ref="CK9:CK53" si="33">IF(AND($E9="Water",$F9="Scope 3"),$S9,"")</f>
        <v/>
      </c>
      <c r="CL9" s="25" t="str">
        <f t="shared" ref="CL9:CL53" si="34">IF(AND($E9="Aircraft",$F9="Scope 3"),$S9,"")</f>
        <v/>
      </c>
      <c r="CM9" s="25" t="str">
        <f t="shared" ref="CM9:CM53" si="35">IF(AND($E9="Offroad",$F9="Scope 3"),$S9,"")</f>
        <v/>
      </c>
      <c r="CN9" s="25" t="str">
        <f t="shared" ref="CN9:CN53" si="36">IF(AND($E9="Road",$F9="Scope 3"),$T9,"")</f>
        <v/>
      </c>
      <c r="CO9" s="25" t="str">
        <f t="shared" ref="CO9:CO53" si="37">IF(AND($E9="Rail",$F9="Scope 3"),$T9,"")</f>
        <v/>
      </c>
      <c r="CP9" s="25" t="str">
        <f t="shared" ref="CP9:CP53" si="38">IF(AND($E9="Water",$F9="Scope 3"),$T9,"")</f>
        <v/>
      </c>
      <c r="CQ9" s="25" t="str">
        <f t="shared" ref="CQ9:CQ53" si="39">IF(AND($E9="Aircraft",$F9="Scope 3"),$T9,"")</f>
        <v/>
      </c>
      <c r="CR9" s="25" t="str">
        <f t="shared" ref="CR9:CR53" si="40">IF(AND($E9="Offroad",$F9="Scope 3"),$T9,"")</f>
        <v/>
      </c>
      <c r="CS9" s="25" t="str">
        <f t="shared" ref="CS9:CS53" si="41">IF($E9="Road",$V9,"")</f>
        <v/>
      </c>
      <c r="CT9" s="25" t="str">
        <f t="shared" ref="CT9:CT53" si="42">IF($E9="Rail",$V9,"")</f>
        <v/>
      </c>
      <c r="CU9" s="25" t="str">
        <f t="shared" ref="CU9:CU53" si="43">IF($E9="Water",$V9,"")</f>
        <v/>
      </c>
      <c r="CV9" s="25" t="str">
        <f t="shared" ref="CV9:CV53" si="44">IF($E9="Aircraft",$V9,"")</f>
        <v/>
      </c>
      <c r="CW9" s="25" t="str">
        <f t="shared" ref="CW9:CW53" si="45">IF($E9="Offroad",$V9,"")</f>
        <v/>
      </c>
      <c r="CX9" s="25" t="str" cm="1">
        <f t="array" ref="CX9">_xlfn.IFNA(_xlfn.IFS(
$G9="Weight Distance (e.g. Freight Transport)","Ref_DD_WeightDistanceUnits",
$G9="Passenger Distance (e.g. Public Transport)","Ref_DD_PasengerDistanceUnits",
$G9="Vehicle Distance (e.g. Road Transport)", "Ref_DD_DistanceUnit",
$G9="Vehicle Distance (e.g. Public or Freight Transport)","Ref_DD_DistanceUnit",
$G9="Fuel Use and Vehicle Distance", "Ref_DD_DistanceUnit",
$G9="Custom Vehicle",VLOOKUP($H9,'2. Settings'!$B$39:$I$54,8,FALSE)),"")</f>
        <v/>
      </c>
      <c r="CY9" s="27" t="str">
        <f ca="1">IF(AND(ISERROR(#REF!*$AU9)=TRUE,ISERROR((S9/1000)*$AV9)=TRUE,ISERROR((T9/1000)*$AW9)=FALSE),((T9/1000)*$AW9),"")</f>
        <v/>
      </c>
      <c r="CZ9" s="27" cm="1">
        <f t="array" ref="CZ9">IFERROR(_xlfn.IFS(
AND($G9="Custom vehicle",OR($J9="Passenger Mile",$J9="Passenger Kilometer")),"Passenger Distance (e.g. Public Transport)",
AND($G9="Custom vehicle",OR($J9="Tonne Mile",$J9="Tonne Kilometer",$J9="Short Ton Kilometer",$J9="Short Ton Mile")),"Weight Distance (e.g. Freight Transport)",
AND($G9="Custom vehicle",OR($J9="Mile",$J9="Kilometer")),"Vehicle Distance (e.g. Road Transport)",
$G9&lt;&gt;"Custom vehicle",$G9),"")</f>
        <v>0</v>
      </c>
      <c r="DA9" s="27" t="str" cm="1">
        <f t="array" ref="DA9">IFERROR(_xlfn.IFS(OR(J9="Tonne Kilometer",J9="Tonne Mile",J9="Short Ton Mile",J9="Short Ton Kilometer"),I9*K9,OR(J9="Passenger Kilometer",J9="Passenger Mile"),I9*L9,OR(J9="Kilometer",J9="Mile"),$I9),"")</f>
        <v/>
      </c>
    </row>
    <row r="10" spans="2:105" ht="25.5" customHeight="1" x14ac:dyDescent="0.25">
      <c r="B10" s="244"/>
      <c r="C10" s="71" t="str" cm="1">
        <f t="array" ref="C10">IFERROR(_xlfn.IFS($D10="Other", D10&amp;"_" &amp;Ref_Other_to,OR($D10="UK", $D10="US"),$D10),"")</f>
        <v/>
      </c>
      <c r="D10" s="71"/>
      <c r="E10" s="71"/>
      <c r="F10" s="71"/>
      <c r="G10" s="72"/>
      <c r="H10" s="72"/>
      <c r="I10" s="73"/>
      <c r="J10" s="73"/>
      <c r="K10" s="73"/>
      <c r="L10" s="73"/>
      <c r="M10" s="74"/>
      <c r="N10" s="75"/>
      <c r="O10" s="71"/>
      <c r="P10" s="165" t="str">
        <f>IFERROR(IF(AND(C10&lt;&gt;"US",G10="Vehicle Distance (e.g. Road Transport)"),(VLOOKUP(H10,'Reference - EF Road'!A162:R163,16, FALSE)),""),"")</f>
        <v/>
      </c>
      <c r="Q10" s="166" t="str">
        <f t="shared" ref="Q10:Q53" si="46">IF(OR((
AND(D10="UK",OR(E10="Water",E10="Aircraft",E10="Rail"),OR(F10="Scope 1",F10="Scope 3"),G10="Vehicle Distance (e.g. Road Transport)")),
AND(OR(D10="UK",C10="Other_UK"),E10&lt;&gt;"Road",OR(F10="Scope 1",F10="Scope 3"),G10="Vehicle Distance (e.g. Road Transport)"),
AND(D10="US",E10&lt;&gt;"Road",G10="Vehicle Distance (e.g. Public or Freight Transport)"),
AND(OR(D10="US",C10="Other_US"),OR(E10="Water",E10="Offroad"),F10="Scope 3",G10="Passenger Distance (e.g. Public Transport)"),
AND(OR(D10="US",C10="Other_US"),E10="Offroad",F10="Scope 3",G10="Weight Distance (e.g. Freight Transport)"),
AND(D10="US",E10&lt;&gt;"Road",OR(F10="Scope 3",F10="Scope 1"),G10="Fuel Use and Vehicle Distance"),
AND(D10="Other",OR(E10&lt;&gt;"Road"),G10="Fuel Use and Vehicle Distance",OR(F10="Scope 1",F10="Scope 3"))),"Sorry, no emission factors are found in this tool based on your selections.",
IF(OR(
AND(D10="UK",G10="Fuel Use"),
AND(OR(D10="Other",D10="US"),E10="Road",G10="Fuel Use"),
AND(C10="Other_UK",OR(E10="Water",E10="Aircraft"),G10="Fuel Use")),"Sorry, emission factors are not available, in this tool, to calculate CH4 and N2O emissions with only fuel use activity data.",""))</f>
        <v/>
      </c>
      <c r="R10" s="78" t="str" cm="1">
        <f t="array" aca="1" ref="R10" ca="1">IFERROR(_xlfn.IFS(
AND(AA10&gt;0, OR($G10="Fuel Use",$G10="Custom Fuel")),$N10*$AA10*$AM10*$AN10,
AND(AA10&gt;0,$CZ10="Vehicle Distance (e.g. Road Transport)"),$I10*$AA10*$AM10*$AN10,
AND(AA10&gt;0,$CZ10="Vehicle Distance (e.g. Public or Freight Transport)"),$I10*$AA10*$AM10*$AN10,
AND(AA10&gt;0,$CZ10="Fuel Use and Vehicle Distance"),$N10*$AA10*$AM10*$AN10,
AND(AA10&gt;0,$CZ10="Passenger Distance (e.g. Public Transport)"),$DA10*$AA10*$AM10*$AN10,
AND(AA10&gt;0,$CZ10="Weight Distance (e.g. Freight Transport)"),$DA10*$AA10*$AM10*$AN10),"")</f>
        <v/>
      </c>
      <c r="S10" s="141" t="str" cm="1">
        <f t="array" aca="1" ref="S10" ca="1">IFERROR(_xlfn.IFS(
AND(AG10&gt;-1, $G10="Fuel Use and Vehicle Distance"),$I10*$AG10*$AQ10*$AR10,
AND(AG10&gt;-1, $G10="Vehicle Distance (e.g. Road Transport)"),$I10*$AG10*$AQ10*$AR10,
AND(AG10&gt;-1, $CZ10="Vehicle Distance (e.g. Public or Freight Transport)"),$I10*$AG10*$AQ10*$AR10,
AND(AG10&gt;-1, OR($G10="Fuel Use",$G10="Custom Fuel")), $N10*$AG10*$AQ10*$AR10*1000,
AND(AG10&gt;-1, $G10="Custom Vehicle"),$DA10*$AG10*$AQ10*$AR10*1000,
AND(AG10&gt;-1, AND($G10&lt;&gt;"Custom Vehicle",$CZ10="Weight Distance (e.g. Freight Transport)")),$DA10*$AG10*$AQ10*$AR10*1000,
AND(AG10&gt;-1, AND($G10&lt;&gt;"Custom Vehicle",$CZ10="Passenger Distance (e.g. Public Transport)")), $DA10*$AG10*$AQ10*$AR10*1000),"")</f>
        <v/>
      </c>
      <c r="T10" s="78" t="str" cm="1">
        <f t="array" aca="1" ref="T10" ca="1">IFERROR(_xlfn.IFS(
AND(AJ10&gt;0,$G10="Fuel Use and Vehicle Distance"),$I10*$AJ10*$AS10*$AT10,
AND(AJ10&gt;0,$G10="Vehicle Distance (e.g. Road Transport)"),$I10*$AJ10*$AS10*$AT10,
AND(AJ10&gt;0,$G10="Vehicle Distance (e.g. Public or Freight Transport)"),$I10*$AJ10*$AS10*$AT10,
AND(AJ10&gt;0,OR($G10="Fuel Use",$G10="Custom Fuel")), $N10*$AJ10*$AS10*$AT10*1000,
AND(AJ10&gt;0,$G10="Custom Vehicle"),$DA10*$AJ10*$AS10*$AT10*1000,
AND(AJ10&gt;0,AND($G10&lt;&gt;"Custom Vehicle",$CZ10="Weight Distance (e.g. Freight Transport)")),$DA10*$AJ10*$AS10*$AT10*1000,
AND(AJ10&gt;0,AND($G10&lt;&gt;"Custom Vehicle",$CZ10="Passenger Distance (e.g. Public Transport)")), $DA10*$AJ10*$AS10*$AT10*1000),"")</f>
        <v/>
      </c>
      <c r="U10" s="78" t="str">
        <f t="shared" ref="U10:U52" ca="1" si="47">IF(AND(ISERROR($R10*$AU10)=FALSE,ISERROR((S10/1000)*$AV10)=FALSE,ISERROR((T10/1000)*$AW10)=FALSE),($R10*$AU10)+((S10/1000)*$AV10)+((T10/1000)*$AW10),IF(AND(ISERROR($R10*$AU10)=FALSE,ISERROR((S10/1000)*$AV10)=FALSE,ISERROR((T10/1000)*$AW10)=TRUE),($R10*$AU10)+((S10/1000)*$AV10),IF(AND(ISERROR($R10*$AU10)=FALSE,ISERROR((S10/1000)*$AV10)=TRUE,ISERROR((T10/1000)*$AW10)=FALSE),($R10*$AU10)+((T10/1000)*$AW10),IF(AND(ISERROR($R10*$AU10)=FALSE,ISERROR((S10/1000)*$AV10)=TRUE,ISERROR((T10/1000)*$AW10)=TRUE),($R10*$AU10),IF(AND(ISERROR($R10*$AU10)=TRUE,ISERROR((S10/1000)*$AV10)=FALSE,ISERROR((T10/1000)*$AW10)=FALSE),((S10/1000)*$AV10)+((T10/1000)*$AW10),IF(AND(ISERROR($R10*$AU10)=TRUE,ISERROR((S10/1000)*$AV10)=FALSE,ISERROR((T10/1000)*$AW10)=TRUE),((S10/1000)*$AV10),CY10))))))</f>
        <v/>
      </c>
      <c r="V10" s="161" t="str" cm="1">
        <f t="array" aca="1" ref="V10" ca="1">IFERROR(_xlfn.IFS(
AND(AD10&gt;0,OR($CZ10="Fuel Use",$CZ10="Custom Fuel",$CZ10="Fuel Use and Vehicle Distance")),($N10*$AD10*$AO10*$AP10),
AND(AD10&gt;0,$G10="Custom Vehicle"),$DA10*$AD10*$AO10*$AP10,
AND(AD10&gt;0,$CZ10="Vehicle Distance (e.g. Public or Freight Transport)"),$I10*$AD10*$AM10*$AN10,
AND(AD10&gt;0,$CZ10="Weight Distance (e.g. Freight Transport)"),($I10*$K10*$AD10*$AO10*$AP10),
AND(AD10&gt;0,$CZ10="Passenger Distance (e.g. Public Transport)"),$I10*$L10*$AD10*$AO10*$AP10,
AND(AD10&gt;0,$CZ10="Vehicle Distance (e.g. Road Transport)"),($I10*$AD10*$AO10*$AP10)),"")</f>
        <v/>
      </c>
      <c r="W10" s="164" t="str" cm="1">
        <f t="array" aca="1" ref="W10" ca="1">IFERROR(_xlfn.IFS(AND(ISNUMBER(R10),AA10=0),AA10&amp;" "&amp;"("&amp;AB10&amp;" CO2/"&amp;AC10&amp;")",AND(ISNUMBER(R10),AA10&gt;0),ROUND(AA10,INT(3-LOG(AA10)))&amp;" "&amp;"("&amp;AB10&amp;" CO2/"&amp;AC10&amp;")"),"")</f>
        <v/>
      </c>
      <c r="X10" s="164" t="str" cm="1">
        <f t="array" aca="1" ref="X10" ca="1">IFERROR(_xlfn.IFS(AND(ISNUMBER(S10), AG10=0),AG10&amp;" "&amp;"("&amp;AH10&amp;" CH4/"&amp;AI10&amp;")",AND(ISNUMBER(S10), AG10&gt;0),ROUND(AG10,INT(3-LOG(AG10)))&amp;" "&amp;"("&amp;AH10&amp;" CH4/"&amp;AI10&amp;")"),"")</f>
        <v/>
      </c>
      <c r="Y10" s="164" t="str" cm="1">
        <f t="array" aca="1" ref="Y10" ca="1">IFERROR(_xlfn.IFS(AND(ISNUMBER(T10), AJ10=0),AJ10&amp;" "&amp;"("&amp;AK10&amp;" CH4/"&amp;AL10&amp;")",AND(ISNUMBER(T10), AJ10&gt;0),ROUND(AJ10,INT(3-LOG(AJ10)))&amp;" "&amp;"("&amp;AK10&amp;" N2O/"&amp;AL10&amp;")"),"")</f>
        <v/>
      </c>
      <c r="Z10" s="245" t="str" cm="1">
        <f t="array" aca="1" ref="Z10" ca="1">IFERROR(_xlfn.IFS(AND(ISNUMBER(V10),AD10=0),AD10&amp;" "&amp;"("&amp;AE10&amp;" CO2/"&amp;AF10&amp;")",AND(ISNUMBER(V10),AD10&gt;0),ROUND(AD10,INT(3-LOG(AD10)))&amp;" "&amp;"("&amp;AE10&amp;" CO2/"&amp;AF10&amp;")"),"")</f>
        <v/>
      </c>
      <c r="AA10" s="240" t="str" cm="1">
        <f t="array" aca="1" ref="AA10" ca="1">IFERROR(_xlfn.IFS(
OR($G10="Fuel Use",$G10="Fuel Use and Vehicle Distance"),VLOOKUP($M10,INDIRECT("Ref_EF_ByFuel"&amp;"_"&amp;$C10),3,0),
$G10="Vehicle Distance (e.g. Road Transport)",VLOOKUP($H10,INDIRECT("Ref_EF_Vehicle_Distance"&amp;"_"&amp;$C10),3,0),
$G10="Vehicle Distance (e.g. Public or Freight Transport)",VLOOKUP($H10,INDIRECT("Ref_EF_Vehicle_Distance_S3"&amp;"_"&amp;$C10),3,0),
$G10="Custom Vehicle",VLOOKUP($H10,Tbl_vehical_Settings,2,0),
$G10="Custom Fuel",VLOOKUP($M10,Tbl_Fuel_Settings,2,0),
$G10="Weight Distance (e.g. Freight Transport)",VLOOKUP($H10,INDIRECT("Ref_EF_Weight_Distance"&amp;"_"&amp;$C10),3,0),
$G10="Passenger Distance (e.g. Public Transport)",VLOOKUP($H10,INDIRECT("Ref_EF_Public_Transport"&amp;"_"&amp;$C10),3,0)),"")</f>
        <v/>
      </c>
      <c r="AB10" s="31" t="str" cm="1">
        <f t="array" aca="1" ref="AB10" ca="1">IFERROR(_xlfn.IFS(
OR($G10="Fuel Use",$G10="Fuel Use and Vehicle Distance"),VLOOKUP($M10,INDIRECT("Ref_EF_ByFuel"&amp;"_"&amp;$C10),5,0),
$G10="Vehicle Distance (e.g. Road Transport)",VLOOKUP($H10,INDIRECT("Ref_EF_Vehicle_Distance"&amp;"_"&amp;$C10),5,0),
$G10="Vehicle Distance (e.g. Public or Freight Transport)",VLOOKUP($H10,INDIRECT("Ref_EF_Vehicle_Distance_S3"&amp;"_"&amp;$C10),5,0),
$G10="Custom Vehicle",VLOOKUP($H10,Tbl_vehical_Settings,6,0),
$G10="Custom Fuel",VLOOKUP($M10,Tbl_Fuel_Settings,6,0),
$G10="Weight Distance (e.g. Freight Transport)",VLOOKUP($H10,INDIRECT("Ref_EF_Weight_Distance"&amp;"_"&amp;$C10),5,0),
$G10="Passenger Distance (e.g. Public Transport)",VLOOKUP($H10,INDIRECT("Ref_EF_Public_Transport"&amp;"_"&amp;$C10),5,0)),"")</f>
        <v/>
      </c>
      <c r="AC10" s="31" t="str" cm="1">
        <f t="array" aca="1" ref="AC10" ca="1">IFERROR(_xlfn.IFS(
OR($G10="Fuel Use",$G10="Fuel Use and Vehicle Distance"),VLOOKUP($M10,INDIRECT("Ref_EF_ByFuel"&amp;"_"&amp;$C10),6,0),
$G10="Vehicle Distance (e.g. Road Transport)",VLOOKUP($H10,INDIRECT("Ref_EF_Vehicle_Distance"&amp;"_"&amp;$C10),6,0),
$G10="Vehicle Distance (e.g. Public or Freight Transport)",VLOOKUP($H10,INDIRECT("Ref_EF_Vehicle_Distance_S3"&amp;"_"&amp;$C10),6,0),
$G10="Custom Vehicle",VLOOKUP($H10,Tbl_vehical_Settings,7,0),
$G10="Custom Fuel",VLOOKUP($M10,Tbl_Fuel_Settings,7,0),
$G10="Weight Distance (e.g. Freight Transport)",VLOOKUP($H10,INDIRECT("Ref_EF_Weight_Distance"&amp;"_"&amp;$C10),6,0),
$G10="Passenger Distance (e.g. Public Transport)",VLOOKUP($H10,INDIRECT("Ref_EF_Public_Transport"&amp;"_"&amp;$C10),6,0)),"")</f>
        <v/>
      </c>
      <c r="AD10" s="31" t="str" cm="1">
        <f t="array" aca="1" ref="AD10" ca="1">IFERROR(_xlfn.IFS(
OR($G10="Fuel Use",$G10="Fuel Use and Vehicle Distance"),VLOOKUP($M10,INDIRECT("Ref_EF_ByFuel"&amp;"_"&amp;$C10),4,0),
$G10="Vehicle Distance (e.g. Road Transport)",VLOOKUP($H10,INDIRECT("Ref_EF_Vehicle_Distance"&amp;"_"&amp;$C10),4,0),
$G10="Vehicle Distance (e.g. Public or Freight Transport)",VLOOKUP($H10,INDIRECT("Ref_EF_Vehicle_Distance_S3"&amp;"_"&amp;$C10),4,0),
$G10="Custom Vehicle",VLOOKUP($H10,Tbl_vehical_Settings,5,0),
$G10="Custom Fuel",VLOOKUP($M10,Tbl_Fuel_Settings,5,0),
$G10="Weight Distance (e.g. Freight Transport)",VLOOKUP($H10,INDIRECT("Ref_EF_Weight_Distance"&amp;"_"&amp;$C10),4,0),
$G10="Passenger Distance (e.g. Public Transport)",VLOOKUP($H10,INDIRECT("Ref_EF_Public_Transport"&amp;"_"&amp;$C10),4,0)),"")</f>
        <v/>
      </c>
      <c r="AE10" s="31" t="str" cm="1">
        <f t="array" aca="1" ref="AE10" ca="1">IFERROR(_xlfn.IFS(
OR($G10="Fuel Use",$G10="Fuel Use and Vehicle Distance"),VLOOKUP($M10,INDIRECT("Ref_EF_ByFuel"&amp;"_"&amp;$C10),5,0),
$G10="Vehicle Distance (e.g. Road Transport)",VLOOKUP($H10,INDIRECT("Ref_EF_Vehicle_Distance"&amp;"_"&amp;$C10),5,0),
$G10="Vehicle Distance (e.g. Public or Freight Transport)",VLOOKUP($H10,INDIRECT("Ref_EF_Vehicle_Distance_S3"&amp;"_"&amp;$C10),5,0),
$G10="Custom Vehicle",VLOOKUP($H10,Tbl_vehical_Settings,6,0),
$G10="Custom Fuel",VLOOKUP($M10,Tbl_Fuel_Settings,6,0),
$G10="Weight Distance (e.g. Freight Transport)",VLOOKUP($H10,INDIRECT("Ref_EF_Weight_Distance"&amp;"_"&amp;$C10),5,0),
$G10="Passenger Distance (e.g. Public Transport)",VLOOKUP($H10,INDIRECT("Ref_EF_Public_Transport"&amp;"_"&amp;$C10),5,0)),"")</f>
        <v/>
      </c>
      <c r="AF10" s="31" t="str" cm="1">
        <f t="array" aca="1" ref="AF10" ca="1">IFERROR(_xlfn.IFS(
OR($G10="Fuel Use",$G10="Fuel Use and Vehicle Distance"),VLOOKUP($M10,INDIRECT("Ref_EF_ByFuel"&amp;"_"&amp;$C10),6,0),
$G10="Vehicle Distance (e.g. Road Transport)",VLOOKUP($H10,INDIRECT("Ref_EF_Vehicle_Distance"&amp;"_"&amp;$C10),6,0),
$G10="Vehicle Distance (e.g. Public or Freight Transport)",VLOOKUP($H10,INDIRECT("Ref_EF_Vehicle_Distance_S3"&amp;"_"&amp;$C10),6,0),
$G10="Custom Vehicle",VLOOKUP($H10,Tbl_vehical_Settings,7,0),
$G10="Custom Fuel",VLOOKUP($M10,Tbl_Fuel_Settings,7,0),
$G10="Weight Distance (e.g. Freight Transport)",VLOOKUP($H10,INDIRECT("Ref_EF_Weight_Distance"&amp;"_"&amp;$C10),6,0),
$G10="Passenger Distance (e.g. Public Transport)",VLOOKUP($H10,INDIRECT("Ref_EF_Public_Transport"&amp;"_"&amp;$C10),6,0)),"")</f>
        <v/>
      </c>
      <c r="AG10" s="31" t="str" cm="1">
        <f t="array" aca="1" ref="AG10" ca="1">IFERROR(_xlfn.IFS(
AND($G10="Fuel Use",$E10&lt;&gt;"Road"),VLOOKUP($H10,INDIRECT("Ref_EF_ByFuel_CH4"&amp;"_"&amp;$C10),3,0),
$G10="Vehicle Distance (e.g. Road Transport)",VLOOKUP($H10,INDIRECT("Ref_EF_Vehicle_Distance"&amp;"_"&amp;$C10),7,0),
$G10="Vehicle Distance (e.g. Public or Freight Transport)",VLOOKUP($H10,INDIRECT("Ref_EF_Vehicle_Distance_S3"&amp;"_"&amp;$C10),7,0),
$G10="Fuel Use and Vehicle Distance",VLOOKUP($H10,INDIRECT("Ref_EF_Fuel_Vehicle_Distance"&amp;"_"&amp;$C10),3,0),
$G10="Custom Vehicle",VLOOKUP($H10,Tbl_vehical_Settings,3,0),
$G10="Custom Fuel",VLOOKUP($M10,Tbl_Fuel_Settings,3,0),
$G10="Weight Distance (e.g. Freight Transport)",VLOOKUP($H10,INDIRECT("Ref_EF_Weight_Distance_CH4"&amp;"_"&amp;$C10),3,0),
$G10="Passenger Distance (e.g. Public Transport)",VLOOKUP($H10,INDIRECT("Ref_EF_Public_Transport_CH4"&amp;"_"&amp;$C10),7,0)),"")</f>
        <v/>
      </c>
      <c r="AH10" s="31" t="str" cm="1">
        <f t="array" aca="1" ref="AH10" ca="1">IFERROR(_xlfn.IFS(
AND($G10="Fuel Use",$E10&lt;&gt;"Road"),VLOOKUP($H10,INDIRECT("Ref_EF_ByFuel_CH4"&amp;"_"&amp;$C10),4,0),
$G10="Vehicle Distance (e.g. Road Transport)",VLOOKUP($H10,INDIRECT("Ref_EF_Vehicle_Distance"&amp;"_"&amp;$C10),8,0),
$G10="Vehicle Distance (e.g. Public or Freight Transport)",VLOOKUP($H10,INDIRECT("Ref_EF_Vehicle_Distance_S3"&amp;"_"&amp;$C10),8,0),
$G10="Fuel Use and Vehicle Distance",VLOOKUP($H10,INDIRECT("Ref_EF_Fuel_Vehicle_Distance"&amp;"_"&amp;$C10),4,0),
$G10="Custom Vehicle",VLOOKUP($H10,Tbl_vehical_Settings,6,0),
$G10="Custom Fuel",VLOOKUP($M10,Tbl_Fuel_Settings,6,0),
$G10="Weight Distance (e.g. Freight Transport)",VLOOKUP($H10,INDIRECT("Ref_EF_Weight_Distance_CH4"&amp;"_"&amp;$C10),4,0),
$G10="Passenger Distance (e.g. Public Transport)",VLOOKUP($H10,INDIRECT("Ref_EF_Public_Transport_CH4"&amp;"_"&amp;$C10),8,0)),"")</f>
        <v/>
      </c>
      <c r="AI10" s="31" t="str" cm="1">
        <f t="array" aca="1" ref="AI10" ca="1">IFERROR(_xlfn.IFS(
AND($G10="Fuel Use",$E10&lt;&gt;"Road"),VLOOKUP($H10,INDIRECT("Ref_EF_ByFuel_CH4"&amp;"_"&amp;$C10),5,0),
$G10="Vehicle Distance (e.g. Road Transport)",VLOOKUP($H10,INDIRECT("Ref_EF_Vehicle_Distance"&amp;"_"&amp;$C10),9,0),
$G10="Vehicle Distance (e.g. Public or Freight Transport)",VLOOKUP($H10,INDIRECT("Ref_EF_Vehicle_Distance_S3"&amp;"_"&amp;$C10),9,0),
$G10="Fuel Use and Vehicle Distance",VLOOKUP($H10,INDIRECT("Ref_EF_Fuel_Vehicle_Distance"&amp;"_"&amp;$C10),5,0),
$G10="Custom Vehicle",VLOOKUP($H10,Tbl_vehical_Settings,7,0),
$G10="Custom Fuel",VLOOKUP($M10,Tbl_Fuel_Settings,7,0),
$G10="Weight Distance (e.g. Freight Transport)",VLOOKUP($H10,INDIRECT("Ref_EF_Weight_Distance_CH4"&amp;"_"&amp;$C10),5,0),
$G10="Passenger Distance (e.g. Public Transport)",VLOOKUP($H10,INDIRECT("Ref_EF_Public_Transport_CH4"&amp;"_"&amp;$C10),9,0)),"")</f>
        <v/>
      </c>
      <c r="AJ10" s="31" t="str" cm="1">
        <f t="array" aca="1" ref="AJ10" ca="1">IFERROR(_xlfn.IFS(
AND($G10="Fuel Use",$E10&lt;&gt;"Road"),VLOOKUP($H10,INDIRECT("Ref_EF_ByFuel_CH4"&amp;"_"&amp;$C10),6,0),
$G10="Vehicle Distance (e.g. Road Transport)",VLOOKUP($H10,INDIRECT("Ref_EF_Vehicle_Distance"&amp;"_"&amp;$C10),10,0),
$G10="Vehicle Distance (e.g. Public or Freight Transport)",VLOOKUP($H10,INDIRECT("Ref_EF_Vehicle_Distance_S3"&amp;"_"&amp;$C10),10,0),
$G10="Fuel Use and Vehicle Distance",VLOOKUP($H10,INDIRECT("Ref_EF_Fuel_Vehicle_Distance"&amp;"_"&amp;$C10),6,0),
$G10="Custom Vehicle",VLOOKUP($H10,Tbl_vehical_Settings,4,0),
$G10="Custom Fuel",VLOOKUP($M10,Tbl_Fuel_Settings,4,0),
$G10="Weight Distance (e.g. Freight Transport)",VLOOKUP($H10,INDIRECT("Ref_EF_Weight_Distance_CH4"&amp;"_"&amp;$C10),6,0),
$G10="Passenger Distance (e.g. Public Transport)",VLOOKUP($H10,INDIRECT("Ref_EF_Public_Transport_CH4"&amp;"_"&amp;$C10),10,0)),"")</f>
        <v/>
      </c>
      <c r="AK10" s="31" t="str" cm="1">
        <f t="array" aca="1" ref="AK10" ca="1">IFERROR(_xlfn.IFS(
AND($G10="Fuel Use",$E10&lt;&gt;"Road"),VLOOKUP($H10,INDIRECT("Ref_EF_ByFuel_CH4"&amp;"_"&amp;$C10),7,0),
$G10="Vehicle Distance (e.g. Road Transport)",VLOOKUP($H10,INDIRECT("Ref_EF_Vehicle_Distance"&amp;"_"&amp;$C10),11,0),
$G10="Vehicle Distance (e.g. Public or Freight Transport)",VLOOKUP($H10,INDIRECT("Ref_EF_Vehicle_Distance_S3"&amp;"_"&amp;$C10),11,0),
$G10="Fuel Use and Vehicle Distance",VLOOKUP($H10,INDIRECT("Ref_EF_Fuel_Vehicle_Distance"&amp;"_"&amp;$C10),7,0),
$G10="Custom Vehicle",VLOOKUP($H10,Tbl_vehical_Settings,6,0),
$G10="Custom Fuel",VLOOKUP($M10,Tbl_Fuel_Settings,6,0),
$G10="Weight Distance (e.g. Freight Transport)",VLOOKUP($H10,INDIRECT("Ref_EF_Weight_Distance_CH4"&amp;"_"&amp;$C10),7,0),
$G10="Passenger Distance (e.g. Public Transport)",VLOOKUP($H10,INDIRECT("Ref_EF_Public_Transport_CH4"&amp;"_"&amp;$C10),11,0)),"")</f>
        <v/>
      </c>
      <c r="AL10" s="31" t="str" cm="1">
        <f t="array" aca="1" ref="AL10" ca="1">IFERROR(_xlfn.IFS(
AND($G10="Fuel Use",$E10&lt;&gt;"Road"),VLOOKUP($H10,INDIRECT("Ref_EF_ByFuel_CH4"&amp;"_"&amp;$C10),8,0),
$G10="Vehicle Distance (e.g. Road Transport)",VLOOKUP($H10,INDIRECT("Ref_EF_Vehicle_Distance"&amp;"_"&amp;$C10),12,0),
$G10="Vehicle Distance (e.g. Public or Freight Transport)",VLOOKUP($H10,INDIRECT("Ref_EF_Vehicle_Distance_S3"&amp;"_"&amp;$C10),12,0),
$G10="Fuel Use and Vehicle Distance",VLOOKUP($H10,INDIRECT("Ref_EF_Fuel_Vehicle_Distance"&amp;"_"&amp;$C10),8,0),
$G10="Custom Vehicle",VLOOKUP($H10,Tbl_vehical_Settings,7,0),
$G10="Custom Fuel",VLOOKUP($M10,Tbl_Fuel_Settings,7,0),
$G10="Weight Distance (e.g. Freight Transport)",VLOOKUP($H10,INDIRECT("Ref_EF_Weight_Distance_CH4"&amp;"_"&amp;$C10),8,0),
$G10="Passenger Distance (e.g. Public Transport)",VLOOKUP($H10,INDIRECT("Ref_EF_Public_Transport_CH4"&amp;"_"&amp;$C10),12,0)),"")</f>
        <v/>
      </c>
      <c r="AM10" s="31" t="e">
        <f ca="1">INDEX(Ref_Master_Unit_Table,MATCH($AB10,REF_To_Unit,0),MATCH('Reference - Lookup and Unit'!$A$11,Ref_From_Units,0))</f>
        <v>#N/A</v>
      </c>
      <c r="AN10" s="31" t="e">
        <f ca="1">INDEX(Ref_Master_Unit_Table,MATCH(IF(AND($C10="UK",$G10="Vehicle Distance (e.g. Road Transport)"),$J10,IF(ISBLANK($O10),$J10,$O10)),Ref_From_Units,0),MATCH($AC10,REF_To_Unit,0))</f>
        <v>#N/A</v>
      </c>
      <c r="AO10" s="31" t="e">
        <f ca="1">INDEX(Ref_Master_Unit_Table,MATCH($AE10,REF_To_Unit,0),MATCH('Reference - Lookup and Unit'!$A$11,Ref_From_Units,0))</f>
        <v>#N/A</v>
      </c>
      <c r="AP10" s="31" t="e">
        <f ca="1">INDEX(Ref_Master_Unit_Table,MATCH(IF(AND($C10="UK",$G10="Vehicle Distance (e.g. Road Transport)"),$J10,IF(ISBLANK($O10),$J10,$O10)),Ref_From_Units,0),MATCH($AF10,REF_To_Unit,0))</f>
        <v>#N/A</v>
      </c>
      <c r="AQ10" s="31" t="e">
        <f ca="1">INDEX(Ref_Master_Unit_Table,MATCH($AH10,REF_To_Unit,0),MATCH('Reference - Lookup and Unit'!$A$11,Ref_From_Units,0))</f>
        <v>#N/A</v>
      </c>
      <c r="AR10" s="31" t="e">
        <f ca="1">INDEX(Ref_Master_Unit_Table,MATCH(IF(OR($G10="Fuel Use",$G10="Custom Fuel"),$O10,$J10),Ref_From_Units,0),MATCH($AI10,REF_To_Unit,0))</f>
        <v>#N/A</v>
      </c>
      <c r="AS10" s="31" t="e">
        <f ca="1">INDEX(Ref_Master_Unit_Table,MATCH($AK10,REF_To_Unit,0),MATCH('Reference - Lookup and Unit'!$A$11,Ref_From_Units,0))</f>
        <v>#N/A</v>
      </c>
      <c r="AT10" s="31" t="e">
        <f ca="1">INDEX(Ref_Master_Unit_Table,MATCH(IF(OR($G10="Fuel Use",$G10="Custom Fuel"),$O10,$J10),Ref_From_Units,0),MATCH($AI10,REF_To_Unit,0))</f>
        <v>#N/A</v>
      </c>
      <c r="AU10" s="31" t="e" cm="1">
        <f t="array" aca="1" ref="AU10"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10" s="31">
        <f t="shared" ref="AV10:AV53" ca="1" si="48">VLOOKUP("CH4",INDIRECT(IF(Setting_IPCC_GWP_VERSION="1995 IPCC Second Assessment Report (SAR)","Ref_EF_IPCC_GWP_95", IF(Setting_IPCC_GWP_VERSION="2001 IPCC Third Assessment Report (TAR)","Ref_EF_IPCC_GWP_2001", IF(Setting_IPCC_GWP_VERSION="2007 IPCC Fourth Assessment Report","Ref_EF_IPCC_GWP_2007", IF(Setting_IPCC_GWP_VERSION="2014 IPCC Fifth Assessment Report","Ref_EF_IPCC_GWP_2014","Ref_EF_IPCC_GWP_2021"))))),2,0)</f>
        <v>27.9</v>
      </c>
      <c r="AW10" s="31">
        <f t="shared" ref="AW10:AW53" ca="1" si="49">VLOOKUP("N2O",INDIRECT(IF(Setting_IPCC_GWP_VERSION="1995 IPCC Second Assessment Report (SAR)","Ref_EF_IPCC_GWP_95", IF(Setting_IPCC_GWP_VERSION="2001 IPCC Third Assessment Report (TAR)","Ref_EF_IPCC_GWP_2001", IF(Setting_IPCC_GWP_VERSION="2007 IPCC Fourth Assessment Report","Ref_EF_IPCC_GWP_2007", IF(Setting_IPCC_GWP_VERSION="2014 IPCC Fifth Assessment Report","Ref_EF_IPCC_GWP_2014","Ref_EF_IPCC_GWP_2021"))))),2,0)</f>
        <v>273</v>
      </c>
      <c r="AX10" s="31" t="e" cm="1">
        <f t="array" aca="1" ref="AX10"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10" s="25" t="e" cm="1">
        <f t="array" ref="AY10">_xlfn.IFS(
AND($E10&lt;&gt;"",$G10="Custom Fuel"),("Settings_Custom_Fuels"),
AND($E10&lt;&gt;"",$G10="Custom vehicle"),("Settings_Custom_Vehicle"),
AND($E10&lt;&gt;"",$G10="Fuel Use"),("Ref_DD_vehicle_FuelUse"&amp;"_"&amp;C10&amp;"_"&amp;E10),
AND($E10&lt;&gt;"",$G10="Fuel Use and Vehicle Distance"),("Ref_DD_Fuel_VehicleDistance"&amp;"_"&amp;C10&amp;"_"&amp;E10),
AND($E10&lt;&gt;"",$G10="Vehicle Distance (e.g. Road Transport)"),("Ref_DD_vehicle_VehicleDistance"&amp;"_"&amp;C10&amp;"_"&amp;E10),
AND($E10&lt;&gt;"",$G10="Weight Distance (e.g. Freight Transport)"),("Ref_DD_vehicle_WeightDistance"&amp;"_"&amp;C10&amp;"_"&amp;E10),
AND($E10&lt;&gt;"",$G10="Vehicle Distance (e.g. Public or Freight Transport)"),("Ref_DD_vehicle_DistanceS3"&amp;"_"&amp;C10),
AND($E10&lt;&gt;"",$G10="Passenger Distance (e.g. Public Transport)"),("Ref_DD_vehicle_Passenger"&amp;"_"&amp;C10&amp;"_"&amp;E10),
AND($E10="",$G10="Fuel Use"),("Ref_DD_vehicle_FuelUse"&amp;"_"&amp;C10),
AND($E10="",OR($G10="Vehicle Distance (e.g. Road Transport)",$G10="Fuel Use and Vehicle Distance")),("Ref_DD_vehicle_VehicleDistance"&amp;"_"&amp;C10),
AND($E10="",$G10="Weight Distance (e.g. Freight Transport)"),("Ref_DD_vehicle_WeightDistance"&amp;"_"&amp;C10),
AND($E10="",$G10="Vehicle Distance (e.g. Public or Freight Transport)"),("Ref_DD_vehicle_DistanceS3"&amp;"_"&amp;C10),
AND($E10="",$G10="Passenger Distance (e.g. Public Transport)"),("Ref_DD_vehicle_Passenger"&amp;"_"&amp;C10))</f>
        <v>#N/A</v>
      </c>
      <c r="AZ10" s="25" t="b">
        <f t="shared" ca="1" si="4"/>
        <v>0</v>
      </c>
      <c r="BA10" s="25" t="str">
        <f>IF(AND($F10="Scope 1",OR($G10="Fuel Use",$G10="Custom Fuel",$G10="Fuel Use and Vehicle Distance")),$R10,IF(AND($F10="Scope 1",OR($G10="Vehicle Distance (e.g. Road Transport)",$G10="Custom Vehicle"),ISBLANK($N10)=FALSE),$R10,""))</f>
        <v/>
      </c>
      <c r="BB10" s="25" t="str">
        <f>IF(AND($F10="Scope 1",AND(OR($G10="Vehicle Distance (e.g. Road Transport)",$G10="Custom Vehicle"),OR($C10="US",$C10="Other"),ISBLANK($N10)=TRUE)),$R10,IF(AND($F10="Scope 1",$G10&lt;&gt;"Fuel Use",ISBLANK($N10)=TRUE),$R10,""))</f>
        <v/>
      </c>
      <c r="BC10" s="25" t="str">
        <f>IF(AND(OR(G10="Fuel Use",G10="Custom Fuel"),F10="Scope 1",ISBLANK(I10)=TRUE),S10,"")</f>
        <v/>
      </c>
      <c r="BD10" s="25" t="str">
        <f>IF(AND(OR(G10="Fuel Use",G10="Custom Fuel"),F10="Scope 1",ISBLANK(I10)=FALSE),S10,IF(AND(G10&lt;&gt;"Fuel Use",G10&lt;&gt;"Custom Fuel",F10="Scope 1"),S10,""))</f>
        <v/>
      </c>
      <c r="BE10" s="25" t="str">
        <f>IF(AND(OR(G10="Fuel Use",G10="Custom Fuel"),F10="Scope 1",ISBLANK(I10)=TRUE),T10,"")</f>
        <v/>
      </c>
      <c r="BF10" s="25" t="str">
        <f>IF(AND(OR(G10="Fuel Use",G10="Custom Fuel"),F10="Scope 1",ISBLANK(I10)=FALSE),T10,IF(AND(G10&lt;&gt;"Fuel Use",G10&lt;&gt;"Custom Fuel",F10="Scope 1"),T10,""))</f>
        <v/>
      </c>
      <c r="BG10" s="25" t="str">
        <f>IF(AND($F10="Scope 3",OR($G10="Fuel Use",$G10="Custom Fuel",$G10="Fuel Use and Vehicle Distance")),$R10,IF(AND($F10="Scope 3",OR($G10="Vehicle Distance (e.g. Road Transport)",$G10="Custom Vehicle"),ISBLANK($N10)=FALSE),$R10,""))</f>
        <v/>
      </c>
      <c r="BH10" s="25" t="str">
        <f>IF(AND($F10="Scope 3",AND(OR($G10="Vehicle Distance (e.g. Road Transport)",$G10="Custom Vehicle",$G10="Vehicle Distance (e.g. Public or Freight)"),OR($C10="US",$C10="Other"),ISBLANK($N10)=TRUE)),$R10,IF(AND($F10="Scope 3",$G10&lt;&gt;"Fuel Use",ISBLANK($N10)=TRUE),$R10,""))</f>
        <v/>
      </c>
      <c r="BI10" s="25" t="str">
        <f>IF(AND(OR(G10="Fuel Use",G10="Custom Fuel"),F10="Scope 3",ISBLANK(I10)=TRUE),S10,"")</f>
        <v/>
      </c>
      <c r="BJ10" s="25" t="str">
        <f>IF(AND(OR(G10="Fuel Use",G10="Custom Fuel"),F10="Scope 3",ISBLANK(I10)=FALSE),S10,IF(AND(G10&lt;&gt;"Fuel Use",G10&lt;&gt;"Custom Fuel",F10="Scope 3"),S10,""))</f>
        <v/>
      </c>
      <c r="BK10" s="25" t="str">
        <f>IF(AND(OR(G10="Fuel Use",G10="Custom Fuel"),F10="Scope 3",ISBLANK(I10)=TRUE),T10,"")</f>
        <v/>
      </c>
      <c r="BL10" s="25" t="str">
        <f>IF(AND(OR(G10="Fuel Use",G10="Custom Fuel"),F10="Scope 3",ISBLANK(I10)=FALSE),T10,IF(AND(G10&lt;&gt;"Fuel Use",G10&lt;&gt;"Custom Fuel",F10="Scope 3"),T10,""))</f>
        <v/>
      </c>
      <c r="BM10" s="25" t="str">
        <f>IF(OR($G10="Fuel Use",$G10="Custom Fuel"),$V10,IF(AND(OR($G10="Vehicle Distance (e.g. Road Transport)",$G10="Custom Vehicle"),ISBLANK($N10)=FALSE),$V10,""))</f>
        <v/>
      </c>
      <c r="BN10" s="25" t="str">
        <f ca="1">IF(AND(AND(OR($G10="Vehicle Distance (e.g. Road Transport)",$G10="Custom Vehicle"),OR($C10="US",$C10="Other"),ISBLANK($N10)=TRUE)),$V10,IF(AND($G10&lt;&gt;"Fuel Use",ISBLANK($N10)=TRUE),$V10,""))</f>
        <v/>
      </c>
      <c r="BO10" s="25" t="str">
        <f t="shared" si="11"/>
        <v/>
      </c>
      <c r="BP10" s="25" t="str">
        <f t="shared" si="12"/>
        <v/>
      </c>
      <c r="BQ10" s="25" t="str">
        <f t="shared" si="13"/>
        <v/>
      </c>
      <c r="BR10" s="25" t="str">
        <f t="shared" si="14"/>
        <v/>
      </c>
      <c r="BS10" s="25" t="str">
        <f t="shared" si="15"/>
        <v/>
      </c>
      <c r="BT10" s="25" t="str">
        <f t="shared" si="16"/>
        <v/>
      </c>
      <c r="BU10" s="25" t="str">
        <f t="shared" si="17"/>
        <v/>
      </c>
      <c r="BV10" s="25" t="str">
        <f t="shared" si="18"/>
        <v/>
      </c>
      <c r="BW10" s="25" t="str">
        <f t="shared" si="19"/>
        <v/>
      </c>
      <c r="BX10" s="25" t="str">
        <f t="shared" si="20"/>
        <v/>
      </c>
      <c r="BY10" s="25" t="str">
        <f t="shared" si="21"/>
        <v/>
      </c>
      <c r="BZ10" s="25" t="str">
        <f t="shared" si="22"/>
        <v/>
      </c>
      <c r="CA10" s="25" t="str">
        <f t="shared" si="23"/>
        <v/>
      </c>
      <c r="CB10" s="25" t="str">
        <f t="shared" si="24"/>
        <v/>
      </c>
      <c r="CC10" s="25" t="str">
        <f t="shared" si="25"/>
        <v/>
      </c>
      <c r="CD10" s="25" t="str">
        <f t="shared" si="26"/>
        <v/>
      </c>
      <c r="CE10" s="25" t="str">
        <f t="shared" si="27"/>
        <v/>
      </c>
      <c r="CF10" s="25" t="str">
        <f t="shared" si="28"/>
        <v/>
      </c>
      <c r="CG10" s="25" t="str">
        <f t="shared" si="29"/>
        <v/>
      </c>
      <c r="CH10" s="25" t="str">
        <f t="shared" si="30"/>
        <v/>
      </c>
      <c r="CI10" s="25" t="str">
        <f t="shared" si="31"/>
        <v/>
      </c>
      <c r="CJ10" s="25" t="str">
        <f t="shared" si="32"/>
        <v/>
      </c>
      <c r="CK10" s="25" t="str">
        <f t="shared" si="33"/>
        <v/>
      </c>
      <c r="CL10" s="25" t="str">
        <f t="shared" si="34"/>
        <v/>
      </c>
      <c r="CM10" s="25" t="str">
        <f t="shared" si="35"/>
        <v/>
      </c>
      <c r="CN10" s="25" t="str">
        <f t="shared" si="36"/>
        <v/>
      </c>
      <c r="CO10" s="25" t="str">
        <f t="shared" si="37"/>
        <v/>
      </c>
      <c r="CP10" s="25" t="str">
        <f t="shared" si="38"/>
        <v/>
      </c>
      <c r="CQ10" s="25" t="str">
        <f t="shared" si="39"/>
        <v/>
      </c>
      <c r="CR10" s="25" t="str">
        <f t="shared" si="40"/>
        <v/>
      </c>
      <c r="CS10" s="25" t="str">
        <f t="shared" si="41"/>
        <v/>
      </c>
      <c r="CT10" s="25" t="str">
        <f t="shared" si="42"/>
        <v/>
      </c>
      <c r="CU10" s="25" t="str">
        <f t="shared" si="43"/>
        <v/>
      </c>
      <c r="CV10" s="25" t="str">
        <f t="shared" si="44"/>
        <v/>
      </c>
      <c r="CW10" s="25" t="str">
        <f t="shared" si="45"/>
        <v/>
      </c>
      <c r="CX10" s="25" t="str" cm="1">
        <f t="array" ref="CX10">_xlfn.IFNA(_xlfn.IFS(
$G10="Weight Distance (e.g. Freight Transport)","Ref_DD_WeightDistanceUnits",
$G10="Passenger Distance (e.g. Public Transport)","Ref_DD_PasengerDistanceUnits",
$G10="Vehicle Distance (e.g. Road Transport)", "Ref_DD_DistanceUnit",
$G10="Vehicle Distance (e.g. Public or Freight Transport)","Ref_DD_DistanceUnit",
$G10="Fuel Use and Vehicle Distance", "Ref_DD_DistanceUnit",
$G10="Custom Vehicle",VLOOKUP($H10,'2. Settings'!$B$39:$I$54,8,FALSE)),"")</f>
        <v/>
      </c>
      <c r="CY10" s="27" t="str">
        <f ca="1">IF(AND(ISERROR(#REF!*$AU10)=TRUE,ISERROR((S10/1000)*$AV10)=TRUE,ISERROR((T10/1000)*$AW10)=FALSE),((T10/1000)*$AW10),"")</f>
        <v/>
      </c>
      <c r="CZ10" s="27" cm="1">
        <f t="array" ref="CZ10">IFERROR(_xlfn.IFS(
AND($G10="Custom vehicle",OR($J10="Passenger Mile",$J10="Passenger Kilometer")),"Passenger Distance (e.g. Public Transport)",
AND($G10="Custom vehicle",OR($J10="Tonne Mile",$J10="Tonne Kilometer",$J10="Short Ton Kilometer",$J10="Short Ton Mile")),"Weight Distance (e.g. Freight Transport)",
AND($G10="Custom vehicle",OR($J10="Mile",$J10="Kilometer")),"Vehicle Distance (e.g. Road Transport)",
$G10&lt;&gt;"Custom vehicle",$G10),"")</f>
        <v>0</v>
      </c>
      <c r="DA10" s="27" t="str" cm="1">
        <f t="array" ref="DA10">IFERROR(_xlfn.IFS(OR(J10="Tonne Kilometer",J10="Tonne Mile",J10="Short Ton Mile",J10="Short Ton Kilometer"),I10*K10,OR(J10="Passenger Kilometer",J10="Passenger Mile"),I10*L10,OR(J10="Kilometer",J10="Mile"),$I10),"")</f>
        <v/>
      </c>
    </row>
    <row r="11" spans="2:105" x14ac:dyDescent="0.25">
      <c r="B11" s="244"/>
      <c r="C11" s="71" t="str" cm="1">
        <f t="array" ref="C11">IFERROR(_xlfn.IFS($D11="Other", D11&amp;"_" &amp;Ref_Other_to,OR($D11="UK", $D11="US"),$D11),"")</f>
        <v/>
      </c>
      <c r="D11" s="71"/>
      <c r="E11" s="71"/>
      <c r="F11" s="71"/>
      <c r="G11" s="72"/>
      <c r="H11" s="72"/>
      <c r="I11" s="73"/>
      <c r="J11" s="73"/>
      <c r="K11" s="73"/>
      <c r="L11" s="73"/>
      <c r="M11" s="74"/>
      <c r="N11" s="75"/>
      <c r="O11" s="71"/>
      <c r="P11" s="165" t="str">
        <f>IFERROR(IF(AND(C11&lt;&gt;"US",G11="Vehicle Distance (e.g. Road Transport)"),(VLOOKUP(H11,'Reference - EF Road'!A162:R164,16, FALSE)),""),"")</f>
        <v/>
      </c>
      <c r="Q11" s="166" t="str">
        <f t="shared" si="46"/>
        <v/>
      </c>
      <c r="R11" s="76" t="str" cm="1">
        <f t="array" aca="1" ref="R11" ca="1">IFERROR(_xlfn.IFS(
AND(AA11&gt;0, OR($G11="Fuel Use",$G11="Custom Fuel")),$N11*$AA11*$AM11*$AN11,
AND(AA11&gt;0,$CZ11="Vehicle Distance (e.g. Road Transport)"),$I11*$AA11*$AM11*$AN11,
AND(AA11&gt;0,$CZ11="Vehicle Distance (e.g. Public or Freight Transport)"),$I11*$AA11*$AM11*$AN11,
AND(AA11&gt;0,$CZ11="Fuel Use and Vehicle Distance"),$N11*$AA11*$AM11*$AN11,
AND(AA11&gt;0,$CZ11="Passenger Distance (e.g. Public Transport)"),$DA11*$AA11*$AM11*$AN11,
AND(AA11&gt;0,$CZ11="Weight Distance (e.g. Freight Transport)"),$DA11*$AA11*$AM11*$AN11),"")</f>
        <v/>
      </c>
      <c r="S11" s="135" t="str" cm="1">
        <f t="array" aca="1" ref="S11" ca="1">IFERROR(_xlfn.IFS(
AND(AG11&gt;-1, $G11="Fuel Use and Vehicle Distance"),$I11*$AG11*$AQ11*$AR11,
AND(AG11&gt;-1, $G11="Vehicle Distance (e.g. Road Transport)"),$I11*$AG11*$AQ11*$AR11,
AND(AG11&gt;-1, $CZ11="Vehicle Distance (e.g. Public or Freight Transport)"),$I11*$AG11*$AQ11*$AR11,
AND(AG11&gt;-1, OR($G11="Fuel Use",$G11="Custom Fuel")), $N11*$AG11*$AQ11*$AR11*1000,
AND(AG11&gt;-1, $G11="Custom Vehicle"),$DA11*$AG11*$AQ11*$AR11*1000,
AND(AG11&gt;-1, AND($G11&lt;&gt;"Custom Vehicle",$CZ11="Weight Distance (e.g. Freight Transport)")),$DA11*$AG11*$AQ11*$AR11*1000,
AND(AG11&gt;-1, AND($G11&lt;&gt;"Custom Vehicle",$CZ11="Passenger Distance (e.g. Public Transport)")), $DA11*$AG11*$AQ11*$AR11*1000),"")</f>
        <v/>
      </c>
      <c r="T11" s="134" t="str" cm="1">
        <f t="array" aca="1" ref="T11" ca="1">IFERROR(_xlfn.IFS(
AND(AJ11&gt;0,$G11="Fuel Use and Vehicle Distance"),$I11*$AJ11*$AS11*$AT11,
AND(AJ11&gt;0,$G11="Vehicle Distance (e.g. Road Transport)"),$I11*$AJ11*$AS11*$AT11,
AND(AJ11&gt;0,$G11="Vehicle Distance (e.g. Public or Freight Transport)"),$I11*$AJ11*$AS11*$AT11,
AND(AJ11&gt;0,OR($G11="Fuel Use",$G11="Custom Fuel")), $N11*$AJ11*$AS11*$AT11*1000,
AND(AJ11&gt;0,$G11="Custom Vehicle"),$DA11*$AJ11*$AS11*$AT11*1000,
AND(AJ11&gt;0,AND($G11&lt;&gt;"Custom Vehicle",$CZ11="Weight Distance (e.g. Freight Transport)")),$DA11*$AJ11*$AS11*$AT11*1000,
AND(AJ11&gt;0,AND($G11&lt;&gt;"Custom Vehicle",$CZ11="Passenger Distance (e.g. Public Transport)")), $DA11*$AJ11*$AS11*$AT11*1000),"")</f>
        <v/>
      </c>
      <c r="U11" s="78" t="str">
        <f t="shared" ca="1" si="47"/>
        <v/>
      </c>
      <c r="V11" s="161" t="str" cm="1">
        <f t="array" aca="1" ref="V11" ca="1">IFERROR(_xlfn.IFS(
AND(AD11&gt;0,OR($CZ11="Fuel Use",$CZ11="Custom Fuel",$CZ11="Fuel Use and Vehicle Distance")),($N11*$AD11*$AO11*$AP11),
AND(AD11&gt;0,$G11="Custom Vehicle"),$DA11*$AD11*$AO11*$AP11,
AND(AD11&gt;0,$CZ11="Vehicle Distance (e.g. Public or Freight Transport)"),$I11*$AD11*$AM11*$AN11,
AND(AD11&gt;0,$CZ11="Weight Distance (e.g. Freight Transport)"),($I11*$K11*$AD11*$AO11*$AP11),
AND(AD11&gt;0,$CZ11="Passenger Distance (e.g. Public Transport)"),$I11*$L11*$AD11*$AO11*$AP11,
AND(AD11&gt;0,$CZ11="Vehicle Distance (e.g. Road Transport)"),($I11*$AD11*$AO11*$AP11)),"")</f>
        <v/>
      </c>
      <c r="W11" s="164" t="str" cm="1">
        <f t="array" aca="1" ref="W11" ca="1">IFERROR(_xlfn.IFS(AND(ISNUMBER(R11),AA11=0),AA11&amp;" "&amp;"("&amp;AB11&amp;" CO2/"&amp;AC11&amp;")",AND(ISNUMBER(R11),AA11&gt;0),ROUND(AA11,INT(3-LOG(AA11)))&amp;" "&amp;"("&amp;AB11&amp;" CO2/"&amp;AC11&amp;")"),"")</f>
        <v/>
      </c>
      <c r="X11" s="164" t="str" cm="1">
        <f t="array" aca="1" ref="X11" ca="1">IFERROR(_xlfn.IFS(AND(ISNUMBER(S11), AG11=0),AG11&amp;" "&amp;"("&amp;AH11&amp;" CH4/"&amp;AI11&amp;")",AND(ISNUMBER(S11), AG11&gt;0),ROUND(AG11,INT(3-LOG(AG11)))&amp;" "&amp;"("&amp;AH11&amp;" CH4/"&amp;AI11&amp;")"),"")</f>
        <v/>
      </c>
      <c r="Y11" s="164" t="str" cm="1">
        <f t="array" aca="1" ref="Y11" ca="1">IFERROR(_xlfn.IFS(AND(ISNUMBER(T11), AJ11=0),AJ11&amp;" "&amp;"("&amp;AK11&amp;" CH4/"&amp;AL11&amp;")",AND(ISNUMBER(T11), AJ11&gt;0),ROUND(AJ11,INT(3-LOG(AJ11)))&amp;" "&amp;"("&amp;AK11&amp;" N2O/"&amp;AL11&amp;")"),"")</f>
        <v/>
      </c>
      <c r="Z11" s="245" t="str" cm="1">
        <f t="array" aca="1" ref="Z11" ca="1">IFERROR(_xlfn.IFS(AND(ISNUMBER(V11),AD11=0),AD11&amp;" "&amp;"("&amp;AE11&amp;" CO2/"&amp;AF11&amp;")",AND(ISNUMBER(V11),AD11&gt;0),ROUND(AD11,INT(3-LOG(AD11)))&amp;" "&amp;"("&amp;AE11&amp;" CO2/"&amp;AF11&amp;")"),"")</f>
        <v/>
      </c>
      <c r="AA11" s="240" t="str" cm="1">
        <f t="array" aca="1" ref="AA11" ca="1">IFERROR(_xlfn.IFS(
OR($G11="Fuel Use",$G11="Fuel Use and Vehicle Distance"),VLOOKUP($M11,INDIRECT("Ref_EF_ByFuel"&amp;"_"&amp;$C11),3,0),
$G11="Vehicle Distance (e.g. Road Transport)",VLOOKUP($H11,INDIRECT("Ref_EF_Vehicle_Distance"&amp;"_"&amp;$C11),3,0),
$G11="Vehicle Distance (e.g. Public or Freight Transport)",VLOOKUP($H11,INDIRECT("Ref_EF_Vehicle_Distance_S3"&amp;"_"&amp;$C11),3,0),
$G11="Custom Vehicle",VLOOKUP($H11,Tbl_vehical_Settings,2,0),
$G11="Custom Fuel",VLOOKUP($M11,Tbl_Fuel_Settings,2,0),
$G11="Weight Distance (e.g. Freight Transport)",VLOOKUP($H11,INDIRECT("Ref_EF_Weight_Distance"&amp;"_"&amp;$C11),3,0),
$G11="Passenger Distance (e.g. Public Transport)",VLOOKUP($H11,INDIRECT("Ref_EF_Public_Transport"&amp;"_"&amp;$C11),3,0)),"")</f>
        <v/>
      </c>
      <c r="AB11" s="31" t="str" cm="1">
        <f t="array" aca="1" ref="AB11" ca="1">IFERROR(_xlfn.IFS(
OR($G11="Fuel Use",$G11="Fuel Use and Vehicle Distance"),VLOOKUP($M11,INDIRECT("Ref_EF_ByFuel"&amp;"_"&amp;$C11),5,0),
$G11="Vehicle Distance (e.g. Road Transport)",VLOOKUP($H11,INDIRECT("Ref_EF_Vehicle_Distance"&amp;"_"&amp;$C11),5,0),
$G11="Vehicle Distance (e.g. Public or Freight Transport)",VLOOKUP($H11,INDIRECT("Ref_EF_Vehicle_Distance_S3"&amp;"_"&amp;$C11),5,0),
$G11="Custom Vehicle",VLOOKUP($H11,Tbl_vehical_Settings,6,0),
$G11="Custom Fuel",VLOOKUP($M11,Tbl_Fuel_Settings,6,0),
$G11="Weight Distance (e.g. Freight Transport)",VLOOKUP($H11,INDIRECT("Ref_EF_Weight_Distance"&amp;"_"&amp;$C11),5,0),
$G11="Passenger Distance (e.g. Public Transport)",VLOOKUP($H11,INDIRECT("Ref_EF_Public_Transport"&amp;"_"&amp;$C11),5,0)),"")</f>
        <v/>
      </c>
      <c r="AC11" s="31" t="str" cm="1">
        <f t="array" aca="1" ref="AC11" ca="1">IFERROR(_xlfn.IFS(
OR($G11="Fuel Use",$G11="Fuel Use and Vehicle Distance"),VLOOKUP($M11,INDIRECT("Ref_EF_ByFuel"&amp;"_"&amp;$C11),6,0),
$G11="Vehicle Distance (e.g. Road Transport)",VLOOKUP($H11,INDIRECT("Ref_EF_Vehicle_Distance"&amp;"_"&amp;$C11),6,0),
$G11="Vehicle Distance (e.g. Public or Freight Transport)",VLOOKUP($H11,INDIRECT("Ref_EF_Vehicle_Distance_S3"&amp;"_"&amp;$C11),6,0),
$G11="Custom Vehicle",VLOOKUP($H11,Tbl_vehical_Settings,7,0),
$G11="Custom Fuel",VLOOKUP($M11,Tbl_Fuel_Settings,7,0),
$G11="Weight Distance (e.g. Freight Transport)",VLOOKUP($H11,INDIRECT("Ref_EF_Weight_Distance"&amp;"_"&amp;$C11),6,0),
$G11="Passenger Distance (e.g. Public Transport)",VLOOKUP($H11,INDIRECT("Ref_EF_Public_Transport"&amp;"_"&amp;$C11),6,0)),"")</f>
        <v/>
      </c>
      <c r="AD11" s="31" t="str" cm="1">
        <f t="array" aca="1" ref="AD11" ca="1">IFERROR(_xlfn.IFS(
OR($G11="Fuel Use",$G11="Fuel Use and Vehicle Distance"),VLOOKUP($M11,INDIRECT("Ref_EF_ByFuel"&amp;"_"&amp;$C11),4,0),
$G11="Vehicle Distance (e.g. Road Transport)",VLOOKUP($H11,INDIRECT("Ref_EF_Vehicle_Distance"&amp;"_"&amp;$C11),4,0),
$G11="Vehicle Distance (e.g. Public or Freight Transport)",VLOOKUP($H11,INDIRECT("Ref_EF_Vehicle_Distance_S3"&amp;"_"&amp;$C11),4,0),
$G11="Custom Vehicle",VLOOKUP($H11,Tbl_vehical_Settings,5,0),
$G11="Custom Fuel",VLOOKUP($M11,Tbl_Fuel_Settings,5,0),
$G11="Weight Distance (e.g. Freight Transport)",VLOOKUP($H11,INDIRECT("Ref_EF_Weight_Distance"&amp;"_"&amp;$C11),4,0),
$G11="Passenger Distance (e.g. Public Transport)",VLOOKUP($H11,INDIRECT("Ref_EF_Public_Transport"&amp;"_"&amp;$C11),4,0)),"")</f>
        <v/>
      </c>
      <c r="AE11" s="31" t="str" cm="1">
        <f t="array" aca="1" ref="AE11" ca="1">IFERROR(_xlfn.IFS(
OR($G11="Fuel Use",$G11="Fuel Use and Vehicle Distance"),VLOOKUP($M11,INDIRECT("Ref_EF_ByFuel"&amp;"_"&amp;$C11),5,0),
$G11="Vehicle Distance (e.g. Road Transport)",VLOOKUP($H11,INDIRECT("Ref_EF_Vehicle_Distance"&amp;"_"&amp;$C11),5,0),
$G11="Vehicle Distance (e.g. Public or Freight Transport)",VLOOKUP($H11,INDIRECT("Ref_EF_Vehicle_Distance_S3"&amp;"_"&amp;$C11),5,0),
$G11="Custom Vehicle",VLOOKUP($H11,Tbl_vehical_Settings,6,0),
$G11="Custom Fuel",VLOOKUP($M11,Tbl_Fuel_Settings,6,0),
$G11="Weight Distance (e.g. Freight Transport)",VLOOKUP($H11,INDIRECT("Ref_EF_Weight_Distance"&amp;"_"&amp;$C11),5,0),
$G11="Passenger Distance (e.g. Public Transport)",VLOOKUP($H11,INDIRECT("Ref_EF_Public_Transport"&amp;"_"&amp;$C11),5,0)),"")</f>
        <v/>
      </c>
      <c r="AF11" s="31" t="str" cm="1">
        <f t="array" aca="1" ref="AF11" ca="1">IFERROR(_xlfn.IFS(
OR($G11="Fuel Use",$G11="Fuel Use and Vehicle Distance"),VLOOKUP($M11,INDIRECT("Ref_EF_ByFuel"&amp;"_"&amp;$C11),6,0),
$G11="Vehicle Distance (e.g. Road Transport)",VLOOKUP($H11,INDIRECT("Ref_EF_Vehicle_Distance"&amp;"_"&amp;$C11),6,0),
$G11="Vehicle Distance (e.g. Public or Freight Transport)",VLOOKUP($H11,INDIRECT("Ref_EF_Vehicle_Distance_S3"&amp;"_"&amp;$C11),6,0),
$G11="Custom Vehicle",VLOOKUP($H11,Tbl_vehical_Settings,7,0),
$G11="Custom Fuel",VLOOKUP($M11,Tbl_Fuel_Settings,7,0),
$G11="Weight Distance (e.g. Freight Transport)",VLOOKUP($H11,INDIRECT("Ref_EF_Weight_Distance"&amp;"_"&amp;$C11),6,0),
$G11="Passenger Distance (e.g. Public Transport)",VLOOKUP($H11,INDIRECT("Ref_EF_Public_Transport"&amp;"_"&amp;$C11),6,0)),"")</f>
        <v/>
      </c>
      <c r="AG11" s="31" t="str" cm="1">
        <f t="array" aca="1" ref="AG11" ca="1">IFERROR(_xlfn.IFS(
AND($G11="Fuel Use",$E11&lt;&gt;"Road"),VLOOKUP($H11,INDIRECT("Ref_EF_ByFuel_CH4"&amp;"_"&amp;$C11),3,0),
$G11="Vehicle Distance (e.g. Road Transport)",VLOOKUP($H11,INDIRECT("Ref_EF_Vehicle_Distance"&amp;"_"&amp;$C11),7,0),
$G11="Vehicle Distance (e.g. Public or Freight Transport)",VLOOKUP($H11,INDIRECT("Ref_EF_Vehicle_Distance_S3"&amp;"_"&amp;$C11),7,0),
$G11="Fuel Use and Vehicle Distance",VLOOKUP($H11,INDIRECT("Ref_EF_Fuel_Vehicle_Distance"&amp;"_"&amp;$C11),3,0),
$G11="Custom Vehicle",VLOOKUP($H11,Tbl_vehical_Settings,3,0),
$G11="Custom Fuel",VLOOKUP($M11,Tbl_Fuel_Settings,3,0),
$G11="Weight Distance (e.g. Freight Transport)",VLOOKUP($H11,INDIRECT("Ref_EF_Weight_Distance_CH4"&amp;"_"&amp;$C11),3,0),
$G11="Passenger Distance (e.g. Public Transport)",VLOOKUP($H11,INDIRECT("Ref_EF_Public_Transport_CH4"&amp;"_"&amp;$C11),7,0)),"")</f>
        <v/>
      </c>
      <c r="AH11" s="31" t="str" cm="1">
        <f t="array" aca="1" ref="AH11" ca="1">IFERROR(_xlfn.IFS(
AND($G11="Fuel Use",$E11&lt;&gt;"Road"),VLOOKUP($H11,INDIRECT("Ref_EF_ByFuel_CH4"&amp;"_"&amp;$C11),4,0),
$G11="Vehicle Distance (e.g. Road Transport)",VLOOKUP($H11,INDIRECT("Ref_EF_Vehicle_Distance"&amp;"_"&amp;$C11),8,0),
$G11="Vehicle Distance (e.g. Public or Freight Transport)",VLOOKUP($H11,INDIRECT("Ref_EF_Vehicle_Distance_S3"&amp;"_"&amp;$C11),8,0),
$G11="Fuel Use and Vehicle Distance",VLOOKUP($H11,INDIRECT("Ref_EF_Fuel_Vehicle_Distance"&amp;"_"&amp;$C11),4,0),
$G11="Custom Vehicle",VLOOKUP($H11,Tbl_vehical_Settings,6,0),
$G11="Custom Fuel",VLOOKUP($M11,Tbl_Fuel_Settings,6,0),
$G11="Weight Distance (e.g. Freight Transport)",VLOOKUP($H11,INDIRECT("Ref_EF_Weight_Distance_CH4"&amp;"_"&amp;$C11),4,0),
$G11="Passenger Distance (e.g. Public Transport)",VLOOKUP($H11,INDIRECT("Ref_EF_Public_Transport_CH4"&amp;"_"&amp;$C11),8,0)),"")</f>
        <v/>
      </c>
      <c r="AI11" s="31" t="str" cm="1">
        <f t="array" aca="1" ref="AI11" ca="1">IFERROR(_xlfn.IFS(
AND($G11="Fuel Use",$E11&lt;&gt;"Road"),VLOOKUP($H11,INDIRECT("Ref_EF_ByFuel_CH4"&amp;"_"&amp;$C11),5,0),
$G11="Vehicle Distance (e.g. Road Transport)",VLOOKUP($H11,INDIRECT("Ref_EF_Vehicle_Distance"&amp;"_"&amp;$C11),9,0),
$G11="Vehicle Distance (e.g. Public or Freight Transport)",VLOOKUP($H11,INDIRECT("Ref_EF_Vehicle_Distance_S3"&amp;"_"&amp;$C11),9,0),
$G11="Fuel Use and Vehicle Distance",VLOOKUP($H11,INDIRECT("Ref_EF_Fuel_Vehicle_Distance"&amp;"_"&amp;$C11),5,0),
$G11="Custom Vehicle",VLOOKUP($H11,Tbl_vehical_Settings,7,0),
$G11="Custom Fuel",VLOOKUP($M11,Tbl_Fuel_Settings,7,0),
$G11="Weight Distance (e.g. Freight Transport)",VLOOKUP($H11,INDIRECT("Ref_EF_Weight_Distance_CH4"&amp;"_"&amp;$C11),5,0),
$G11="Passenger Distance (e.g. Public Transport)",VLOOKUP($H11,INDIRECT("Ref_EF_Public_Transport_CH4"&amp;"_"&amp;$C11),9,0)),"")</f>
        <v/>
      </c>
      <c r="AJ11" s="31" t="str" cm="1">
        <f t="array" aca="1" ref="AJ11" ca="1">IFERROR(_xlfn.IFS(
AND($G11="Fuel Use",$E11&lt;&gt;"Road"),VLOOKUP($H11,INDIRECT("Ref_EF_ByFuel_CH4"&amp;"_"&amp;$C11),6,0),
$G11="Vehicle Distance (e.g. Road Transport)",VLOOKUP($H11,INDIRECT("Ref_EF_Vehicle_Distance"&amp;"_"&amp;$C11),10,0),
$G11="Vehicle Distance (e.g. Public or Freight Transport)",VLOOKUP($H11,INDIRECT("Ref_EF_Vehicle_Distance_S3"&amp;"_"&amp;$C11),10,0),
$G11="Fuel Use and Vehicle Distance",VLOOKUP($H11,INDIRECT("Ref_EF_Fuel_Vehicle_Distance"&amp;"_"&amp;$C11),6,0),
$G11="Custom Vehicle",VLOOKUP($H11,Tbl_vehical_Settings,4,0),
$G11="Custom Fuel",VLOOKUP($M11,Tbl_Fuel_Settings,4,0),
$G11="Weight Distance (e.g. Freight Transport)",VLOOKUP($H11,INDIRECT("Ref_EF_Weight_Distance_CH4"&amp;"_"&amp;$C11),6,0),
$G11="Passenger Distance (e.g. Public Transport)",VLOOKUP($H11,INDIRECT("Ref_EF_Public_Transport_CH4"&amp;"_"&amp;$C11),10,0)),"")</f>
        <v/>
      </c>
      <c r="AK11" s="31" t="str" cm="1">
        <f t="array" aca="1" ref="AK11" ca="1">IFERROR(_xlfn.IFS(
AND($G11="Fuel Use",$E11&lt;&gt;"Road"),VLOOKUP($H11,INDIRECT("Ref_EF_ByFuel_CH4"&amp;"_"&amp;$C11),7,0),
$G11="Vehicle Distance (e.g. Road Transport)",VLOOKUP($H11,INDIRECT("Ref_EF_Vehicle_Distance"&amp;"_"&amp;$C11),11,0),
$G11="Vehicle Distance (e.g. Public or Freight Transport)",VLOOKUP($H11,INDIRECT("Ref_EF_Vehicle_Distance_S3"&amp;"_"&amp;$C11),11,0),
$G11="Fuel Use and Vehicle Distance",VLOOKUP($H11,INDIRECT("Ref_EF_Fuel_Vehicle_Distance"&amp;"_"&amp;$C11),7,0),
$G11="Custom Vehicle",VLOOKUP($H11,Tbl_vehical_Settings,6,0),
$G11="Custom Fuel",VLOOKUP($M11,Tbl_Fuel_Settings,6,0),
$G11="Weight Distance (e.g. Freight Transport)",VLOOKUP($H11,INDIRECT("Ref_EF_Weight_Distance_CH4"&amp;"_"&amp;$C11),7,0),
$G11="Passenger Distance (e.g. Public Transport)",VLOOKUP($H11,INDIRECT("Ref_EF_Public_Transport_CH4"&amp;"_"&amp;$C11),11,0)),"")</f>
        <v/>
      </c>
      <c r="AL11" s="31" t="str" cm="1">
        <f t="array" aca="1" ref="AL11" ca="1">IFERROR(_xlfn.IFS(
AND($G11="Fuel Use",$E11&lt;&gt;"Road"),VLOOKUP($H11,INDIRECT("Ref_EF_ByFuel_CH4"&amp;"_"&amp;$C11),8,0),
$G11="Vehicle Distance (e.g. Road Transport)",VLOOKUP($H11,INDIRECT("Ref_EF_Vehicle_Distance"&amp;"_"&amp;$C11),12,0),
$G11="Vehicle Distance (e.g. Public or Freight Transport)",VLOOKUP($H11,INDIRECT("Ref_EF_Vehicle_Distance_S3"&amp;"_"&amp;$C11),12,0),
$G11="Fuel Use and Vehicle Distance",VLOOKUP($H11,INDIRECT("Ref_EF_Fuel_Vehicle_Distance"&amp;"_"&amp;$C11),8,0),
$G11="Custom Vehicle",VLOOKUP($H11,Tbl_vehical_Settings,7,0),
$G11="Custom Fuel",VLOOKUP($M11,Tbl_Fuel_Settings,7,0),
$G11="Weight Distance (e.g. Freight Transport)",VLOOKUP($H11,INDIRECT("Ref_EF_Weight_Distance_CH4"&amp;"_"&amp;$C11),8,0),
$G11="Passenger Distance (e.g. Public Transport)",VLOOKUP($H11,INDIRECT("Ref_EF_Public_Transport_CH4"&amp;"_"&amp;$C11),12,0)),"")</f>
        <v/>
      </c>
      <c r="AM11" s="31" t="e">
        <f ca="1">INDEX(Ref_Master_Unit_Table,MATCH($AB11,REF_To_Unit,0),MATCH('Reference - Lookup and Unit'!$A$11,Ref_From_Units,0))</f>
        <v>#N/A</v>
      </c>
      <c r="AN11" s="31" t="e">
        <f ca="1">INDEX(Ref_Master_Unit_Table,MATCH(IF(AND($C11="UK",$G11="Vehicle Distance (e.g. Road Transport)"),$J11,IF(ISBLANK($O11),$J11,$O11)),Ref_From_Units,0),MATCH($AC11,REF_To_Unit,0))</f>
        <v>#N/A</v>
      </c>
      <c r="AO11" s="31" t="e">
        <f ca="1">INDEX(Ref_Master_Unit_Table,MATCH($AE11,REF_To_Unit,0),MATCH('Reference - Lookup and Unit'!$A$11,Ref_From_Units,0))</f>
        <v>#N/A</v>
      </c>
      <c r="AP11" s="31" t="e">
        <f ca="1">INDEX(Ref_Master_Unit_Table,MATCH(IF(AND($C11="UK",$G11="Vehicle Distance (e.g. Road Transport)"),$J11,IF(ISBLANK($O11),$J11,$O11)),Ref_From_Units,0),MATCH($AF11,REF_To_Unit,0))</f>
        <v>#N/A</v>
      </c>
      <c r="AQ11" s="31" t="e">
        <f ca="1">INDEX(Ref_Master_Unit_Table,MATCH($AH11,REF_To_Unit,0),MATCH('Reference - Lookup and Unit'!$A$11,Ref_From_Units,0))</f>
        <v>#N/A</v>
      </c>
      <c r="AR11" s="31" t="e">
        <f ca="1">INDEX(Ref_Master_Unit_Table,MATCH(IF(OR($G11="Fuel Use",$G11="Custom Fuel"),$O11,$J11),Ref_From_Units,0),MATCH($AI11,REF_To_Unit,0))</f>
        <v>#N/A</v>
      </c>
      <c r="AS11" s="31" t="e">
        <f ca="1">INDEX(Ref_Master_Unit_Table,MATCH($AK11,REF_To_Unit,0),MATCH('Reference - Lookup and Unit'!$A$11,Ref_From_Units,0))</f>
        <v>#N/A</v>
      </c>
      <c r="AT11" s="31" t="e">
        <f ca="1">INDEX(Ref_Master_Unit_Table,MATCH(IF(OR($G11="Fuel Use",$G11="Custom Fuel"),$O11,$J11),Ref_From_Units,0),MATCH($AI11,REF_To_Unit,0))</f>
        <v>#N/A</v>
      </c>
      <c r="AU11" s="31" t="e" cm="1">
        <f t="array" aca="1" ref="AU11"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11" s="31">
        <f t="shared" ca="1" si="48"/>
        <v>27.9</v>
      </c>
      <c r="AW11" s="31">
        <f t="shared" ca="1" si="49"/>
        <v>273</v>
      </c>
      <c r="AX11" s="31" t="e" cm="1">
        <f t="array" aca="1" ref="AX11"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11" s="25" t="e" cm="1">
        <f t="array" ref="AY11">_xlfn.IFS(
AND($E11&lt;&gt;"",$G11="Custom Fuel"),("Settings_Custom_Fuels"),
AND($E11&lt;&gt;"",$G11="Custom vehicle"),("Settings_Custom_Vehicle"),
AND($E11&lt;&gt;"",$G11="Fuel Use"),("Ref_DD_vehicle_FuelUse"&amp;"_"&amp;C11&amp;"_"&amp;E11),
AND($E11&lt;&gt;"",$G11="Fuel Use and Vehicle Distance"),("Ref_DD_Fuel_VehicleDistance"&amp;"_"&amp;C11&amp;"_"&amp;E11),
AND($E11&lt;&gt;"",$G11="Vehicle Distance (e.g. Road Transport)"),("Ref_DD_vehicle_VehicleDistance"&amp;"_"&amp;C11&amp;"_"&amp;E11),
AND($E11&lt;&gt;"",$G11="Weight Distance (e.g. Freight Transport)"),("Ref_DD_vehicle_WeightDistance"&amp;"_"&amp;C11&amp;"_"&amp;E11),
AND($E11&lt;&gt;"",$G11="Vehicle Distance (e.g. Public or Freight Transport)"),("Ref_DD_vehicle_DistanceS3"&amp;"_"&amp;C11),
AND($E11&lt;&gt;"",$G11="Passenger Distance (e.g. Public Transport)"),("Ref_DD_vehicle_Passenger"&amp;"_"&amp;C11&amp;"_"&amp;E11),
AND($E11="",$G11="Fuel Use"),("Ref_DD_vehicle_FuelUse"&amp;"_"&amp;C11),
AND($E11="",OR($G11="Vehicle Distance (e.g. Road Transport)",$G11="Fuel Use and Vehicle Distance")),("Ref_DD_vehicle_VehicleDistance"&amp;"_"&amp;C11),
AND($E11="",$G11="Weight Distance (e.g. Freight Transport)"),("Ref_DD_vehicle_WeightDistance"&amp;"_"&amp;C11),
AND($E11="",$G11="Vehicle Distance (e.g. Public or Freight Transport)"),("Ref_DD_vehicle_DistanceS3"&amp;"_"&amp;C11),
AND($E11="",$G11="Passenger Distance (e.g. Public Transport)"),("Ref_DD_vehicle_Passenger"&amp;"_"&amp;C11))</f>
        <v>#N/A</v>
      </c>
      <c r="AZ11" s="25" t="b">
        <f t="shared" ca="1" si="4"/>
        <v>0</v>
      </c>
      <c r="BA11" s="25" t="str">
        <f>IF(AND($F11="Scope 1",OR($G11="Fuel Use",$G11="Custom Fuel",$G11="Fuel Use and Vehicle Distance")),$R11,IF(AND($F11="Scope 1",OR($G11="Vehicle Distance (e.g. Road Transport)",$G11="Custom Vehicle"),ISBLANK($N11)=FALSE),$R11,""))</f>
        <v/>
      </c>
      <c r="BB11" s="25" t="str">
        <f>IF(AND($F11="Scope 1",AND(OR($G11="Vehicle Distance (e.g. Road Transport)",$G11="Custom Vehicle"),OR($C11="US",$C11="Other"),ISBLANK($N11)=TRUE)),$R11,IF(AND($F11="Scope 1",$G11&lt;&gt;"Fuel Use",ISBLANK($N11)=TRUE),$R11,""))</f>
        <v/>
      </c>
      <c r="BC11" s="25" t="str">
        <f>IF(AND(OR(G11="Fuel Use",G11="Custom Fuel"),F11="Scope 1",ISBLANK(I11)=TRUE),S11,"")</f>
        <v/>
      </c>
      <c r="BD11" s="25" t="str">
        <f>IF(AND(OR(G11="Fuel Use",G11="Custom Fuel"),F11="Scope 1",ISBLANK(I11)=FALSE),S11,IF(AND(G11&lt;&gt;"Fuel Use",G11&lt;&gt;"Custom Fuel",F11="Scope 1"),S11,""))</f>
        <v/>
      </c>
      <c r="BE11" s="25" t="str">
        <f>IF(AND(OR(G11="Fuel Use",G11="Custom Fuel"),F11="Scope 1",ISBLANK(I11)=TRUE),T11,"")</f>
        <v/>
      </c>
      <c r="BF11" s="25" t="str">
        <f>IF(AND(OR(G11="Fuel Use",G11="Custom Fuel"),F11="Scope 1",ISBLANK(I11)=FALSE),T11,IF(AND(G11&lt;&gt;"Fuel Use",G11&lt;&gt;"Custom Fuel",F11="Scope 1"),T11,""))</f>
        <v/>
      </c>
      <c r="BG11" s="25" t="str">
        <f>IF(AND($F11="Scope 3",OR($G11="Fuel Use",$G11="Custom Fuel",$G11="Fuel Use and Vehicle Distance")),$R11,IF(AND($F11="Scope 3",OR($G11="Vehicle Distance (e.g. Road Transport)",$G11="Custom Vehicle"),ISBLANK($N11)=FALSE),$R11,""))</f>
        <v/>
      </c>
      <c r="BH11" s="25" t="str">
        <f>IF(AND($F11="Scope 3",AND(OR($G11="Vehicle Distance (e.g. Road Transport)",$G11="Custom Vehicle",$G11="Vehicle Distance (e.g. Public or Freight)"),OR($C11="US",$C11="Other"),ISBLANK($N11)=TRUE)),$R11,IF(AND($F11="Scope 3",$G11&lt;&gt;"Fuel Use",ISBLANK($N11)=TRUE),$R11,""))</f>
        <v/>
      </c>
      <c r="BI11" s="25" t="str">
        <f>IF(AND(OR(G11="Fuel Use",G11="Custom Fuel"),F11="Scope 3",ISBLANK(I11)=TRUE),S11,"")</f>
        <v/>
      </c>
      <c r="BJ11" s="25" t="str">
        <f>IF(AND(OR(G11="Fuel Use",G11="Custom Fuel"),F11="Scope 3",ISBLANK(I11)=FALSE),S11,IF(AND(G11&lt;&gt;"Fuel Use",G11&lt;&gt;"Custom Fuel",F11="Scope 3"),S11,""))</f>
        <v/>
      </c>
      <c r="BK11" s="25" t="str">
        <f>IF(AND(OR(G11="Fuel Use",G11="Custom Fuel"),F11="Scope 3",ISBLANK(I11)=TRUE),T11,"")</f>
        <v/>
      </c>
      <c r="BL11" s="25" t="str">
        <f>IF(AND(OR(G11="Fuel Use",G11="Custom Fuel"),F11="Scope 3",ISBLANK(I11)=FALSE),T11,IF(AND(G11&lt;&gt;"Fuel Use",G11&lt;&gt;"Custom Fuel",F11="Scope 3"),T11,""))</f>
        <v/>
      </c>
      <c r="BM11" s="25" t="str">
        <f>IF(OR($G11="Fuel Use",$G11="Custom Fuel"),$V11,IF(AND(OR($G11="Vehicle Distance (e.g. Road Transport)",$G11="Custom Vehicle"),ISBLANK($N11)=FALSE),$V11,""))</f>
        <v/>
      </c>
      <c r="BN11" s="25" t="str">
        <f ca="1">IF(AND(AND(OR($G11="Vehicle Distance (e.g. Road Transport)",$G11="Custom Vehicle"),OR($C11="US",$C11="Other"),ISBLANK($N11)=TRUE)),$V11,IF(AND($G11&lt;&gt;"Fuel Use",ISBLANK($N11)=TRUE),$V11,""))</f>
        <v/>
      </c>
      <c r="BO11" s="25" t="str">
        <f t="shared" si="11"/>
        <v/>
      </c>
      <c r="BP11" s="25" t="str">
        <f t="shared" si="12"/>
        <v/>
      </c>
      <c r="BQ11" s="25" t="str">
        <f t="shared" si="13"/>
        <v/>
      </c>
      <c r="BR11" s="25" t="str">
        <f t="shared" si="14"/>
        <v/>
      </c>
      <c r="BS11" s="25" t="str">
        <f t="shared" si="15"/>
        <v/>
      </c>
      <c r="BT11" s="25" t="str">
        <f t="shared" si="16"/>
        <v/>
      </c>
      <c r="BU11" s="25" t="str">
        <f t="shared" si="17"/>
        <v/>
      </c>
      <c r="BV11" s="25" t="str">
        <f t="shared" si="18"/>
        <v/>
      </c>
      <c r="BW11" s="25" t="str">
        <f t="shared" si="19"/>
        <v/>
      </c>
      <c r="BX11" s="25" t="str">
        <f t="shared" si="20"/>
        <v/>
      </c>
      <c r="BY11" s="25" t="str">
        <f t="shared" si="21"/>
        <v/>
      </c>
      <c r="BZ11" s="25" t="str">
        <f t="shared" si="22"/>
        <v/>
      </c>
      <c r="CA11" s="25" t="str">
        <f t="shared" si="23"/>
        <v/>
      </c>
      <c r="CB11" s="25" t="str">
        <f t="shared" si="24"/>
        <v/>
      </c>
      <c r="CC11" s="25" t="str">
        <f t="shared" si="25"/>
        <v/>
      </c>
      <c r="CD11" s="25" t="str">
        <f t="shared" si="26"/>
        <v/>
      </c>
      <c r="CE11" s="25" t="str">
        <f t="shared" si="27"/>
        <v/>
      </c>
      <c r="CF11" s="25" t="str">
        <f t="shared" si="28"/>
        <v/>
      </c>
      <c r="CG11" s="25" t="str">
        <f t="shared" si="29"/>
        <v/>
      </c>
      <c r="CH11" s="25" t="str">
        <f t="shared" si="30"/>
        <v/>
      </c>
      <c r="CI11" s="25" t="str">
        <f t="shared" si="31"/>
        <v/>
      </c>
      <c r="CJ11" s="25" t="str">
        <f t="shared" si="32"/>
        <v/>
      </c>
      <c r="CK11" s="25" t="str">
        <f t="shared" si="33"/>
        <v/>
      </c>
      <c r="CL11" s="25" t="str">
        <f t="shared" si="34"/>
        <v/>
      </c>
      <c r="CM11" s="25" t="str">
        <f t="shared" si="35"/>
        <v/>
      </c>
      <c r="CN11" s="25" t="str">
        <f t="shared" si="36"/>
        <v/>
      </c>
      <c r="CO11" s="25" t="str">
        <f t="shared" si="37"/>
        <v/>
      </c>
      <c r="CP11" s="25" t="str">
        <f t="shared" si="38"/>
        <v/>
      </c>
      <c r="CQ11" s="25" t="str">
        <f t="shared" si="39"/>
        <v/>
      </c>
      <c r="CR11" s="25" t="str">
        <f t="shared" si="40"/>
        <v/>
      </c>
      <c r="CS11" s="25" t="str">
        <f t="shared" si="41"/>
        <v/>
      </c>
      <c r="CT11" s="25" t="str">
        <f t="shared" si="42"/>
        <v/>
      </c>
      <c r="CU11" s="25" t="str">
        <f t="shared" si="43"/>
        <v/>
      </c>
      <c r="CV11" s="25" t="str">
        <f t="shared" si="44"/>
        <v/>
      </c>
      <c r="CW11" s="25" t="str">
        <f t="shared" si="45"/>
        <v/>
      </c>
      <c r="CX11" s="25" t="str" cm="1">
        <f t="array" ref="CX11">_xlfn.IFNA(_xlfn.IFS(
$G11="Weight Distance (e.g. Freight Transport)","Ref_DD_WeightDistanceUnits",
$G11="Passenger Distance (e.g. Public Transport)","Ref_DD_PasengerDistanceUnits",
$G11="Vehicle Distance (e.g. Road Transport)", "Ref_DD_DistanceUnit",
$G11="Vehicle Distance (e.g. Public or Freight Transport)","Ref_DD_DistanceUnit",
$G11="Fuel Use and Vehicle Distance", "Ref_DD_DistanceUnit",
$G11="Custom Vehicle",VLOOKUP($H11,'2. Settings'!$B$39:$I$54,8,FALSE)),"")</f>
        <v/>
      </c>
      <c r="CY11" s="27" t="str">
        <f ca="1">IF(AND(ISERROR(#REF!*$AU11)=TRUE,ISERROR((S11/1000)*$AV11)=TRUE,ISERROR((T11/1000)*$AW11)=FALSE),((T11/1000)*$AW11),"")</f>
        <v/>
      </c>
      <c r="CZ11" s="27" cm="1">
        <f t="array" ref="CZ11">IFERROR(_xlfn.IFS(
AND($G11="Custom vehicle",OR($J11="Passenger Mile",$J11="Passenger Kilometer")),"Passenger Distance (e.g. Public Transport)",
AND($G11="Custom vehicle",OR($J11="Tonne Mile",$J11="Tonne Kilometer",$J11="Short Ton Kilometer",$J11="Short Ton Mile")),"Weight Distance (e.g. Freight Transport)",
AND($G11="Custom vehicle",OR($J11="Mile",$J11="Kilometer")),"Vehicle Distance (e.g. Road Transport)",
$G11&lt;&gt;"Custom vehicle",$G11),"")</f>
        <v>0</v>
      </c>
      <c r="DA11" s="27" t="str" cm="1">
        <f t="array" ref="DA11">IFERROR(_xlfn.IFS(OR(J11="Tonne Kilometer",J11="Tonne Mile",J11="Short Ton Mile",J11="Short Ton Kilometer"),I11*K11,OR(J11="Passenger Kilometer",J11="Passenger Mile"),I11*L11,OR(J11="Kilometer",J11="Mile"),$I11),"")</f>
        <v/>
      </c>
    </row>
    <row r="12" spans="2:105" x14ac:dyDescent="0.25">
      <c r="B12" s="244"/>
      <c r="C12" s="71" t="str" cm="1">
        <f t="array" ref="C12">IFERROR(_xlfn.IFS($D12="Other", D12&amp;"_" &amp;Ref_Other_to,OR($D12="UK", $D12="US"),$D12),"")</f>
        <v/>
      </c>
      <c r="D12" s="71"/>
      <c r="E12" s="71"/>
      <c r="F12" s="71"/>
      <c r="G12" s="72"/>
      <c r="H12" s="72"/>
      <c r="I12" s="73"/>
      <c r="J12" s="73"/>
      <c r="K12" s="73"/>
      <c r="L12" s="73"/>
      <c r="M12" s="74"/>
      <c r="N12" s="75"/>
      <c r="O12" s="71"/>
      <c r="P12" s="165" t="str">
        <f>IFERROR(IF(AND(C12&lt;&gt;"US",G12="Vehicle Distance (e.g. Road Transport)"),(VLOOKUP(H12,'Reference - EF Road'!A162:R165,16, FALSE)),""),"")</f>
        <v/>
      </c>
      <c r="Q12" s="166" t="str">
        <f t="shared" si="46"/>
        <v/>
      </c>
      <c r="R12" s="76" t="str" cm="1">
        <f t="array" aca="1" ref="R12" ca="1">IFERROR(_xlfn.IFS(
AND(AA12&gt;0, OR($G12="Fuel Use",$G12="Custom Fuel")),$N12*$AA12*$AM12*$AN12,
AND(AA12&gt;0,$CZ12="Vehicle Distance (e.g. Road Transport)"),$I12*$AA12*$AM12*$AN12,
AND(AA12&gt;0,$CZ12="Vehicle Distance (e.g. Public or Freight Transport)"),$I12*$AA12*$AM12*$AN12,
AND(AA12&gt;0,$CZ12="Fuel Use and Vehicle Distance"),$N12*$AA12*$AM12*$AN12,
AND(AA12&gt;0,$CZ12="Passenger Distance (e.g. Public Transport)"),$DA12*$AA12*$AM12*$AN12,
AND(AA12&gt;0,$CZ12="Weight Distance (e.g. Freight Transport)"),$DA12*$AA12*$AM12*$AN12),"")</f>
        <v/>
      </c>
      <c r="S12" s="135" t="str" cm="1">
        <f t="array" aca="1" ref="S12" ca="1">IFERROR(_xlfn.IFS(
AND(AG12&gt;-1, $G12="Fuel Use and Vehicle Distance"),$I12*$AG12*$AQ12*$AR12,
AND(AG12&gt;-1, $G12="Vehicle Distance (e.g. Road Transport)"),$I12*$AG12*$AQ12*$AR12,
AND(AG12&gt;-1, $CZ12="Vehicle Distance (e.g. Public or Freight Transport)"),$I12*$AG12*$AQ12*$AR12,
AND(AG12&gt;-1, OR($G12="Fuel Use",$G12="Custom Fuel")), $N12*$AG12*$AQ12*$AR12*1000,
AND(AG12&gt;-1, $G12="Custom Vehicle"),$DA12*$AG12*$AQ12*$AR12*1000,
AND(AG12&gt;-1, AND($G12&lt;&gt;"Custom Vehicle",$CZ12="Weight Distance (e.g. Freight Transport)")),$DA12*$AG12*$AQ12*$AR12*1000,
AND(AG12&gt;-1, AND($G12&lt;&gt;"Custom Vehicle",$CZ12="Passenger Distance (e.g. Public Transport)")), $DA12*$AG12*$AQ12*$AR12*1000),"")</f>
        <v/>
      </c>
      <c r="T12" s="134" t="str" cm="1">
        <f t="array" aca="1" ref="T12" ca="1">IFERROR(_xlfn.IFS(
AND(AJ12&gt;0,$G12="Fuel Use and Vehicle Distance"),$I12*$AJ12*$AS12*$AT12,
AND(AJ12&gt;0,$G12="Vehicle Distance (e.g. Road Transport)"),$I12*$AJ12*$AS12*$AT12,
AND(AJ12&gt;0,$G12="Vehicle Distance (e.g. Public or Freight Transport)"),$I12*$AJ12*$AS12*$AT12,
AND(AJ12&gt;0,OR($G12="Fuel Use",$G12="Custom Fuel")), $N12*$AJ12*$AS12*$AT12*1000,
AND(AJ12&gt;0,$G12="Custom Vehicle"),$DA12*$AJ12*$AS12*$AT12*1000,
AND(AJ12&gt;0,AND($G12&lt;&gt;"Custom Vehicle",$CZ12="Weight Distance (e.g. Freight Transport)")),$DA12*$AJ12*$AS12*$AT12*1000,
AND(AJ12&gt;0,AND($G12&lt;&gt;"Custom Vehicle",$CZ12="Passenger Distance (e.g. Public Transport)")), $DA12*$AJ12*$AS12*$AT12*1000),"")</f>
        <v/>
      </c>
      <c r="U12" s="78" t="str">
        <f t="shared" ca="1" si="47"/>
        <v/>
      </c>
      <c r="V12" s="161" t="str" cm="1">
        <f t="array" aca="1" ref="V12" ca="1">IFERROR(_xlfn.IFS(
AND(AD12&gt;0,OR($CZ12="Fuel Use",$CZ12="Custom Fuel",$CZ12="Fuel Use and Vehicle Distance")),($N12*$AD12*$AO12*$AP12),
AND(AD12&gt;0,$G12="Custom Vehicle"),$DA12*$AD12*$AO12*$AP12,
AND(AD12&gt;0,$CZ12="Vehicle Distance (e.g. Public or Freight Transport)"),$I12*$AD12*$AM12*$AN12,
AND(AD12&gt;0,$CZ12="Weight Distance (e.g. Freight Transport)"),($I12*$K12*$AD12*$AO12*$AP12),
AND(AD12&gt;0,$CZ12="Passenger Distance (e.g. Public Transport)"),$I12*$L12*$AD12*$AO12*$AP12,
AND(AD12&gt;0,$CZ12="Vehicle Distance (e.g. Road Transport)"),($I12*$AD12*$AO12*$AP12)),"")</f>
        <v/>
      </c>
      <c r="W12" s="164" t="str" cm="1">
        <f t="array" aca="1" ref="W12" ca="1">IFERROR(_xlfn.IFS(AND(ISNUMBER(R12),AA12=0),AA12&amp;" "&amp;"("&amp;AB12&amp;" CO2/"&amp;AC12&amp;")",AND(ISNUMBER(R12),AA12&gt;0),ROUND(AA12,INT(3-LOG(AA12)))&amp;" "&amp;"("&amp;AB12&amp;" CO2/"&amp;AC12&amp;")"),"")</f>
        <v/>
      </c>
      <c r="X12" s="164" t="str" cm="1">
        <f t="array" aca="1" ref="X12" ca="1">IFERROR(_xlfn.IFS(AND(ISNUMBER(S12), AG12=0),AG12&amp;" "&amp;"("&amp;AH12&amp;" CH4/"&amp;AI12&amp;")",AND(ISNUMBER(S12), AG12&gt;0),ROUND(AG12,INT(3-LOG(AG12)))&amp;" "&amp;"("&amp;AH12&amp;" CH4/"&amp;AI12&amp;")"),"")</f>
        <v/>
      </c>
      <c r="Y12" s="164" t="str" cm="1">
        <f t="array" aca="1" ref="Y12" ca="1">IFERROR(_xlfn.IFS(AND(ISNUMBER(T12), AJ12=0),AJ12&amp;" "&amp;"("&amp;AK12&amp;" CH4/"&amp;AL12&amp;")",AND(ISNUMBER(T12), AJ12&gt;0),ROUND(AJ12,INT(3-LOG(AJ12)))&amp;" "&amp;"("&amp;AK12&amp;" N2O/"&amp;AL12&amp;")"),"")</f>
        <v/>
      </c>
      <c r="Z12" s="245" t="str" cm="1">
        <f t="array" aca="1" ref="Z12" ca="1">IFERROR(_xlfn.IFS(AND(ISNUMBER(V12),AD12=0),AD12&amp;" "&amp;"("&amp;AE12&amp;" CO2/"&amp;AF12&amp;")",AND(ISNUMBER(V12),AD12&gt;0),ROUND(AD12,INT(3-LOG(AD12)))&amp;" "&amp;"("&amp;AE12&amp;" CO2/"&amp;AF12&amp;")"),"")</f>
        <v/>
      </c>
      <c r="AA12" s="240" t="str" cm="1">
        <f t="array" aca="1" ref="AA12" ca="1">IFERROR(_xlfn.IFS(
OR($G12="Fuel Use",$G12="Fuel Use and Vehicle Distance"),VLOOKUP($M12,INDIRECT("Ref_EF_ByFuel"&amp;"_"&amp;$C12),3,0),
$G12="Vehicle Distance (e.g. Road Transport)",VLOOKUP($H12,INDIRECT("Ref_EF_Vehicle_Distance"&amp;"_"&amp;$C12),3,0),
$G12="Vehicle Distance (e.g. Public or Freight Transport)",VLOOKUP($H12,INDIRECT("Ref_EF_Vehicle_Distance_S3"&amp;"_"&amp;$C12),3,0),
$G12="Custom Vehicle",VLOOKUP($H12,Tbl_vehical_Settings,2,0),
$G12="Custom Fuel",VLOOKUP($M12,Tbl_Fuel_Settings,2,0),
$G12="Weight Distance (e.g. Freight Transport)",VLOOKUP($H12,INDIRECT("Ref_EF_Weight_Distance"&amp;"_"&amp;$C12),3,0),
$G12="Passenger Distance (e.g. Public Transport)",VLOOKUP($H12,INDIRECT("Ref_EF_Public_Transport"&amp;"_"&amp;$C12),3,0)),"")</f>
        <v/>
      </c>
      <c r="AB12" s="31" t="str" cm="1">
        <f t="array" aca="1" ref="AB12" ca="1">IFERROR(_xlfn.IFS(
OR($G12="Fuel Use",$G12="Fuel Use and Vehicle Distance"),VLOOKUP($M12,INDIRECT("Ref_EF_ByFuel"&amp;"_"&amp;$C12),5,0),
$G12="Vehicle Distance (e.g. Road Transport)",VLOOKUP($H12,INDIRECT("Ref_EF_Vehicle_Distance"&amp;"_"&amp;$C12),5,0),
$G12="Vehicle Distance (e.g. Public or Freight Transport)",VLOOKUP($H12,INDIRECT("Ref_EF_Vehicle_Distance_S3"&amp;"_"&amp;$C12),5,0),
$G12="Custom Vehicle",VLOOKUP($H12,Tbl_vehical_Settings,6,0),
$G12="Custom Fuel",VLOOKUP($M12,Tbl_Fuel_Settings,6,0),
$G12="Weight Distance (e.g. Freight Transport)",VLOOKUP($H12,INDIRECT("Ref_EF_Weight_Distance"&amp;"_"&amp;$C12),5,0),
$G12="Passenger Distance (e.g. Public Transport)",VLOOKUP($H12,INDIRECT("Ref_EF_Public_Transport"&amp;"_"&amp;$C12),5,0)),"")</f>
        <v/>
      </c>
      <c r="AC12" s="31" t="str" cm="1">
        <f t="array" aca="1" ref="AC12" ca="1">IFERROR(_xlfn.IFS(
OR($G12="Fuel Use",$G12="Fuel Use and Vehicle Distance"),VLOOKUP($M12,INDIRECT("Ref_EF_ByFuel"&amp;"_"&amp;$C12),6,0),
$G12="Vehicle Distance (e.g. Road Transport)",VLOOKUP($H12,INDIRECT("Ref_EF_Vehicle_Distance"&amp;"_"&amp;$C12),6,0),
$G12="Vehicle Distance (e.g. Public or Freight Transport)",VLOOKUP($H12,INDIRECT("Ref_EF_Vehicle_Distance_S3"&amp;"_"&amp;$C12),6,0),
$G12="Custom Vehicle",VLOOKUP($H12,Tbl_vehical_Settings,7,0),
$G12="Custom Fuel",VLOOKUP($M12,Tbl_Fuel_Settings,7,0),
$G12="Weight Distance (e.g. Freight Transport)",VLOOKUP($H12,INDIRECT("Ref_EF_Weight_Distance"&amp;"_"&amp;$C12),6,0),
$G12="Passenger Distance (e.g. Public Transport)",VLOOKUP($H12,INDIRECT("Ref_EF_Public_Transport"&amp;"_"&amp;$C12),6,0)),"")</f>
        <v/>
      </c>
      <c r="AD12" s="31" t="str" cm="1">
        <f t="array" aca="1" ref="AD12" ca="1">IFERROR(_xlfn.IFS(
OR($G12="Fuel Use",$G12="Fuel Use and Vehicle Distance"),VLOOKUP($M12,INDIRECT("Ref_EF_ByFuel"&amp;"_"&amp;$C12),4,0),
$G12="Vehicle Distance (e.g. Road Transport)",VLOOKUP($H12,INDIRECT("Ref_EF_Vehicle_Distance"&amp;"_"&amp;$C12),4,0),
$G12="Vehicle Distance (e.g. Public or Freight Transport)",VLOOKUP($H12,INDIRECT("Ref_EF_Vehicle_Distance_S3"&amp;"_"&amp;$C12),4,0),
$G12="Custom Vehicle",VLOOKUP($H12,Tbl_vehical_Settings,5,0),
$G12="Custom Fuel",VLOOKUP($M12,Tbl_Fuel_Settings,5,0),
$G12="Weight Distance (e.g. Freight Transport)",VLOOKUP($H12,INDIRECT("Ref_EF_Weight_Distance"&amp;"_"&amp;$C12),4,0),
$G12="Passenger Distance (e.g. Public Transport)",VLOOKUP($H12,INDIRECT("Ref_EF_Public_Transport"&amp;"_"&amp;$C12),4,0)),"")</f>
        <v/>
      </c>
      <c r="AE12" s="31" t="str" cm="1">
        <f t="array" aca="1" ref="AE12" ca="1">IFERROR(_xlfn.IFS(
OR($G12="Fuel Use",$G12="Fuel Use and Vehicle Distance"),VLOOKUP($M12,INDIRECT("Ref_EF_ByFuel"&amp;"_"&amp;$C12),5,0),
$G12="Vehicle Distance (e.g. Road Transport)",VLOOKUP($H12,INDIRECT("Ref_EF_Vehicle_Distance"&amp;"_"&amp;$C12),5,0),
$G12="Vehicle Distance (e.g. Public or Freight Transport)",VLOOKUP($H12,INDIRECT("Ref_EF_Vehicle_Distance_S3"&amp;"_"&amp;$C12),5,0),
$G12="Custom Vehicle",VLOOKUP($H12,Tbl_vehical_Settings,6,0),
$G12="Custom Fuel",VLOOKUP($M12,Tbl_Fuel_Settings,6,0),
$G12="Weight Distance (e.g. Freight Transport)",VLOOKUP($H12,INDIRECT("Ref_EF_Weight_Distance"&amp;"_"&amp;$C12),5,0),
$G12="Passenger Distance (e.g. Public Transport)",VLOOKUP($H12,INDIRECT("Ref_EF_Public_Transport"&amp;"_"&amp;$C12),5,0)),"")</f>
        <v/>
      </c>
      <c r="AF12" s="31" t="str" cm="1">
        <f t="array" aca="1" ref="AF12" ca="1">IFERROR(_xlfn.IFS(
OR($G12="Fuel Use",$G12="Fuel Use and Vehicle Distance"),VLOOKUP($M12,INDIRECT("Ref_EF_ByFuel"&amp;"_"&amp;$C12),6,0),
$G12="Vehicle Distance (e.g. Road Transport)",VLOOKUP($H12,INDIRECT("Ref_EF_Vehicle_Distance"&amp;"_"&amp;$C12),6,0),
$G12="Vehicle Distance (e.g. Public or Freight Transport)",VLOOKUP($H12,INDIRECT("Ref_EF_Vehicle_Distance_S3"&amp;"_"&amp;$C12),6,0),
$G12="Custom Vehicle",VLOOKUP($H12,Tbl_vehical_Settings,7,0),
$G12="Custom Fuel",VLOOKUP($M12,Tbl_Fuel_Settings,7,0),
$G12="Weight Distance (e.g. Freight Transport)",VLOOKUP($H12,INDIRECT("Ref_EF_Weight_Distance"&amp;"_"&amp;$C12),6,0),
$G12="Passenger Distance (e.g. Public Transport)",VLOOKUP($H12,INDIRECT("Ref_EF_Public_Transport"&amp;"_"&amp;$C12),6,0)),"")</f>
        <v/>
      </c>
      <c r="AG12" s="31" t="str" cm="1">
        <f t="array" aca="1" ref="AG12" ca="1">IFERROR(_xlfn.IFS(
AND($G12="Fuel Use",$E12&lt;&gt;"Road"),VLOOKUP($H12,INDIRECT("Ref_EF_ByFuel_CH4"&amp;"_"&amp;$C12),3,0),
$G12="Vehicle Distance (e.g. Road Transport)",VLOOKUP($H12,INDIRECT("Ref_EF_Vehicle_Distance"&amp;"_"&amp;$C12),7,0),
$G12="Vehicle Distance (e.g. Public or Freight Transport)",VLOOKUP($H12,INDIRECT("Ref_EF_Vehicle_Distance_S3"&amp;"_"&amp;$C12),7,0),
$G12="Fuel Use and Vehicle Distance",VLOOKUP($H12,INDIRECT("Ref_EF_Fuel_Vehicle_Distance"&amp;"_"&amp;$C12),3,0),
$G12="Custom Vehicle",VLOOKUP($H12,Tbl_vehical_Settings,3,0),
$G12="Custom Fuel",VLOOKUP($M12,Tbl_Fuel_Settings,3,0),
$G12="Weight Distance (e.g. Freight Transport)",VLOOKUP($H12,INDIRECT("Ref_EF_Weight_Distance_CH4"&amp;"_"&amp;$C12),3,0),
$G12="Passenger Distance (e.g. Public Transport)",VLOOKUP($H12,INDIRECT("Ref_EF_Public_Transport_CH4"&amp;"_"&amp;$C12),7,0)),"")</f>
        <v/>
      </c>
      <c r="AH12" s="31" t="str" cm="1">
        <f t="array" aca="1" ref="AH12" ca="1">IFERROR(_xlfn.IFS(
AND($G12="Fuel Use",$E12&lt;&gt;"Road"),VLOOKUP($H12,INDIRECT("Ref_EF_ByFuel_CH4"&amp;"_"&amp;$C12),4,0),
$G12="Vehicle Distance (e.g. Road Transport)",VLOOKUP($H12,INDIRECT("Ref_EF_Vehicle_Distance"&amp;"_"&amp;$C12),8,0),
$G12="Vehicle Distance (e.g. Public or Freight Transport)",VLOOKUP($H12,INDIRECT("Ref_EF_Vehicle_Distance_S3"&amp;"_"&amp;$C12),8,0),
$G12="Fuel Use and Vehicle Distance",VLOOKUP($H12,INDIRECT("Ref_EF_Fuel_Vehicle_Distance"&amp;"_"&amp;$C12),4,0),
$G12="Custom Vehicle",VLOOKUP($H12,Tbl_vehical_Settings,6,0),
$G12="Custom Fuel",VLOOKUP($M12,Tbl_Fuel_Settings,6,0),
$G12="Weight Distance (e.g. Freight Transport)",VLOOKUP($H12,INDIRECT("Ref_EF_Weight_Distance_CH4"&amp;"_"&amp;$C12),4,0),
$G12="Passenger Distance (e.g. Public Transport)",VLOOKUP($H12,INDIRECT("Ref_EF_Public_Transport_CH4"&amp;"_"&amp;$C12),8,0)),"")</f>
        <v/>
      </c>
      <c r="AI12" s="31" t="str" cm="1">
        <f t="array" aca="1" ref="AI12" ca="1">IFERROR(_xlfn.IFS(
AND($G12="Fuel Use",$E12&lt;&gt;"Road"),VLOOKUP($H12,INDIRECT("Ref_EF_ByFuel_CH4"&amp;"_"&amp;$C12),5,0),
$G12="Vehicle Distance (e.g. Road Transport)",VLOOKUP($H12,INDIRECT("Ref_EF_Vehicle_Distance"&amp;"_"&amp;$C12),9,0),
$G12="Vehicle Distance (e.g. Public or Freight Transport)",VLOOKUP($H12,INDIRECT("Ref_EF_Vehicle_Distance_S3"&amp;"_"&amp;$C12),9,0),
$G12="Fuel Use and Vehicle Distance",VLOOKUP($H12,INDIRECT("Ref_EF_Fuel_Vehicle_Distance"&amp;"_"&amp;$C12),5,0),
$G12="Custom Vehicle",VLOOKUP($H12,Tbl_vehical_Settings,7,0),
$G12="Custom Fuel",VLOOKUP($M12,Tbl_Fuel_Settings,7,0),
$G12="Weight Distance (e.g. Freight Transport)",VLOOKUP($H12,INDIRECT("Ref_EF_Weight_Distance_CH4"&amp;"_"&amp;$C12),5,0),
$G12="Passenger Distance (e.g. Public Transport)",VLOOKUP($H12,INDIRECT("Ref_EF_Public_Transport_CH4"&amp;"_"&amp;$C12),9,0)),"")</f>
        <v/>
      </c>
      <c r="AJ12" s="31" t="str" cm="1">
        <f t="array" aca="1" ref="AJ12" ca="1">IFERROR(_xlfn.IFS(
AND($G12="Fuel Use",$E12&lt;&gt;"Road"),VLOOKUP($H12,INDIRECT("Ref_EF_ByFuel_CH4"&amp;"_"&amp;$C12),6,0),
$G12="Vehicle Distance (e.g. Road Transport)",VLOOKUP($H12,INDIRECT("Ref_EF_Vehicle_Distance"&amp;"_"&amp;$C12),10,0),
$G12="Vehicle Distance (e.g. Public or Freight Transport)",VLOOKUP($H12,INDIRECT("Ref_EF_Vehicle_Distance_S3"&amp;"_"&amp;$C12),10,0),
$G12="Fuel Use and Vehicle Distance",VLOOKUP($H12,INDIRECT("Ref_EF_Fuel_Vehicle_Distance"&amp;"_"&amp;$C12),6,0),
$G12="Custom Vehicle",VLOOKUP($H12,Tbl_vehical_Settings,4,0),
$G12="Custom Fuel",VLOOKUP($M12,Tbl_Fuel_Settings,4,0),
$G12="Weight Distance (e.g. Freight Transport)",VLOOKUP($H12,INDIRECT("Ref_EF_Weight_Distance_CH4"&amp;"_"&amp;$C12),6,0),
$G12="Passenger Distance (e.g. Public Transport)",VLOOKUP($H12,INDIRECT("Ref_EF_Public_Transport_CH4"&amp;"_"&amp;$C12),10,0)),"")</f>
        <v/>
      </c>
      <c r="AK12" s="31" t="str" cm="1">
        <f t="array" aca="1" ref="AK12" ca="1">IFERROR(_xlfn.IFS(
AND($G12="Fuel Use",$E12&lt;&gt;"Road"),VLOOKUP($H12,INDIRECT("Ref_EF_ByFuel_CH4"&amp;"_"&amp;$C12),7,0),
$G12="Vehicle Distance (e.g. Road Transport)",VLOOKUP($H12,INDIRECT("Ref_EF_Vehicle_Distance"&amp;"_"&amp;$C12),11,0),
$G12="Vehicle Distance (e.g. Public or Freight Transport)",VLOOKUP($H12,INDIRECT("Ref_EF_Vehicle_Distance_S3"&amp;"_"&amp;$C12),11,0),
$G12="Fuel Use and Vehicle Distance",VLOOKUP($H12,INDIRECT("Ref_EF_Fuel_Vehicle_Distance"&amp;"_"&amp;$C12),7,0),
$G12="Custom Vehicle",VLOOKUP($H12,Tbl_vehical_Settings,6,0),
$G12="Custom Fuel",VLOOKUP($M12,Tbl_Fuel_Settings,6,0),
$G12="Weight Distance (e.g. Freight Transport)",VLOOKUP($H12,INDIRECT("Ref_EF_Weight_Distance_CH4"&amp;"_"&amp;$C12),7,0),
$G12="Passenger Distance (e.g. Public Transport)",VLOOKUP($H12,INDIRECT("Ref_EF_Public_Transport_CH4"&amp;"_"&amp;$C12),11,0)),"")</f>
        <v/>
      </c>
      <c r="AL12" s="31" t="str" cm="1">
        <f t="array" aca="1" ref="AL12" ca="1">IFERROR(_xlfn.IFS(
AND($G12="Fuel Use",$E12&lt;&gt;"Road"),VLOOKUP($H12,INDIRECT("Ref_EF_ByFuel_CH4"&amp;"_"&amp;$C12),8,0),
$G12="Vehicle Distance (e.g. Road Transport)",VLOOKUP($H12,INDIRECT("Ref_EF_Vehicle_Distance"&amp;"_"&amp;$C12),12,0),
$G12="Vehicle Distance (e.g. Public or Freight Transport)",VLOOKUP($H12,INDIRECT("Ref_EF_Vehicle_Distance_S3"&amp;"_"&amp;$C12),12,0),
$G12="Fuel Use and Vehicle Distance",VLOOKUP($H12,INDIRECT("Ref_EF_Fuel_Vehicle_Distance"&amp;"_"&amp;$C12),8,0),
$G12="Custom Vehicle",VLOOKUP($H12,Tbl_vehical_Settings,7,0),
$G12="Custom Fuel",VLOOKUP($M12,Tbl_Fuel_Settings,7,0),
$G12="Weight Distance (e.g. Freight Transport)",VLOOKUP($H12,INDIRECT("Ref_EF_Weight_Distance_CH4"&amp;"_"&amp;$C12),8,0),
$G12="Passenger Distance (e.g. Public Transport)",VLOOKUP($H12,INDIRECT("Ref_EF_Public_Transport_CH4"&amp;"_"&amp;$C12),12,0)),"")</f>
        <v/>
      </c>
      <c r="AM12" s="31" t="e">
        <f ca="1">INDEX(Ref_Master_Unit_Table,MATCH($AB12,REF_To_Unit,0),MATCH('Reference - Lookup and Unit'!$A$11,Ref_From_Units,0))</f>
        <v>#N/A</v>
      </c>
      <c r="AN12" s="31" t="e">
        <f ca="1">INDEX(Ref_Master_Unit_Table,MATCH(IF(AND($C12="UK",$G12="Vehicle Distance (e.g. Road Transport)"),$J12,IF(ISBLANK($O12),$J12,$O12)),Ref_From_Units,0),MATCH($AC12,REF_To_Unit,0))</f>
        <v>#N/A</v>
      </c>
      <c r="AO12" s="31" t="e">
        <f ca="1">INDEX(Ref_Master_Unit_Table,MATCH($AE12,REF_To_Unit,0),MATCH('Reference - Lookup and Unit'!$A$11,Ref_From_Units,0))</f>
        <v>#N/A</v>
      </c>
      <c r="AP12" s="31" t="e">
        <f ca="1">INDEX(Ref_Master_Unit_Table,MATCH(IF(AND($C12="UK",$G12="Vehicle Distance (e.g. Road Transport)"),$J12,IF(ISBLANK($O12),$J12,$O12)),Ref_From_Units,0),MATCH($AF12,REF_To_Unit,0))</f>
        <v>#N/A</v>
      </c>
      <c r="AQ12" s="31" t="e">
        <f ca="1">INDEX(Ref_Master_Unit_Table,MATCH($AH12,REF_To_Unit,0),MATCH('Reference - Lookup and Unit'!$A$11,Ref_From_Units,0))</f>
        <v>#N/A</v>
      </c>
      <c r="AR12" s="31" t="e">
        <f ca="1">INDEX(Ref_Master_Unit_Table,MATCH(IF(OR($G12="Fuel Use",$G12="Custom Fuel"),$O12,$J12),Ref_From_Units,0),MATCH($AI12,REF_To_Unit,0))</f>
        <v>#N/A</v>
      </c>
      <c r="AS12" s="31" t="e">
        <f ca="1">INDEX(Ref_Master_Unit_Table,MATCH($AK12,REF_To_Unit,0),MATCH('Reference - Lookup and Unit'!$A$11,Ref_From_Units,0))</f>
        <v>#N/A</v>
      </c>
      <c r="AT12" s="31" t="e">
        <f ca="1">INDEX(Ref_Master_Unit_Table,MATCH(IF(OR($G12="Fuel Use",$G12="Custom Fuel"),$O12,$J12),Ref_From_Units,0),MATCH($AI12,REF_To_Unit,0))</f>
        <v>#N/A</v>
      </c>
      <c r="AU12" s="31" t="e" cm="1">
        <f t="array" aca="1" ref="AU12"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12" s="31">
        <f t="shared" ca="1" si="48"/>
        <v>27.9</v>
      </c>
      <c r="AW12" s="31">
        <f t="shared" ca="1" si="49"/>
        <v>273</v>
      </c>
      <c r="AX12" s="31" t="e" cm="1">
        <f t="array" aca="1" ref="AX12"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12" s="25" t="e" cm="1">
        <f t="array" ref="AY12">_xlfn.IFS(
AND($E12&lt;&gt;"",$G12="Custom Fuel"),("Settings_Custom_Fuels"),
AND($E12&lt;&gt;"",$G12="Custom vehicle"),("Settings_Custom_Vehicle"),
AND($E12&lt;&gt;"",$G12="Fuel Use"),("Ref_DD_vehicle_FuelUse"&amp;"_"&amp;C12&amp;"_"&amp;E12),
AND($E12&lt;&gt;"",$G12="Fuel Use and Vehicle Distance"),("Ref_DD_Fuel_VehicleDistance"&amp;"_"&amp;C12&amp;"_"&amp;E12),
AND($E12&lt;&gt;"",$G12="Vehicle Distance (e.g. Road Transport)"),("Ref_DD_vehicle_VehicleDistance"&amp;"_"&amp;C12&amp;"_"&amp;E12),
AND($E12&lt;&gt;"",$G12="Weight Distance (e.g. Freight Transport)"),("Ref_DD_vehicle_WeightDistance"&amp;"_"&amp;C12&amp;"_"&amp;E12),
AND($E12&lt;&gt;"",$G12="Vehicle Distance (e.g. Public or Freight Transport)"),("Ref_DD_vehicle_DistanceS3"&amp;"_"&amp;C12),
AND($E12&lt;&gt;"",$G12="Passenger Distance (e.g. Public Transport)"),("Ref_DD_vehicle_Passenger"&amp;"_"&amp;C12&amp;"_"&amp;E12),
AND($E12="",$G12="Fuel Use"),("Ref_DD_vehicle_FuelUse"&amp;"_"&amp;C12),
AND($E12="",OR($G12="Vehicle Distance (e.g. Road Transport)",$G12="Fuel Use and Vehicle Distance")),("Ref_DD_vehicle_VehicleDistance"&amp;"_"&amp;C12),
AND($E12="",$G12="Weight Distance (e.g. Freight Transport)"),("Ref_DD_vehicle_WeightDistance"&amp;"_"&amp;C12),
AND($E12="",$G12="Vehicle Distance (e.g. Public or Freight Transport)"),("Ref_DD_vehicle_DistanceS3"&amp;"_"&amp;C12),
AND($E12="",$G12="Passenger Distance (e.g. Public Transport)"),("Ref_DD_vehicle_Passenger"&amp;"_"&amp;C12))</f>
        <v>#N/A</v>
      </c>
      <c r="AZ12" s="25" t="b">
        <f t="shared" ca="1" si="4"/>
        <v>0</v>
      </c>
      <c r="BA12" s="25" t="str">
        <f>IF(AND($F12="Scope 1",OR($G12="Fuel Use",$G12="Custom Fuel",$G12="Fuel Use and Vehicle Distance")),$R12,IF(AND($F12="Scope 1",OR($G12="Vehicle Distance (e.g. Road Transport)",$G12="Custom Vehicle"),ISBLANK($N12)=FALSE),$R12,""))</f>
        <v/>
      </c>
      <c r="BB12" s="25" t="str">
        <f>IF(AND($F12="Scope 1",AND(OR($G12="Vehicle Distance (e.g. Road Transport)",$G12="Custom Vehicle"),OR($C12="US",$C12="Other"),ISBLANK($N12)=TRUE)),$R12,IF(AND($F12="Scope 1",$G12&lt;&gt;"Fuel Use",ISBLANK($N12)=TRUE),$R12,""))</f>
        <v/>
      </c>
      <c r="BC12" s="25" t="str">
        <f>IF(AND(OR(G12="Fuel Use",G12="Custom Fuel"),F12="Scope 1",ISBLANK(I12)=TRUE),S12,"")</f>
        <v/>
      </c>
      <c r="BD12" s="25" t="str">
        <f>IF(AND(OR(G12="Fuel Use",G12="Custom Fuel"),F12="Scope 1",ISBLANK(I12)=FALSE),S12,IF(AND(G12&lt;&gt;"Fuel Use",G12&lt;&gt;"Custom Fuel",F12="Scope 1"),S12,""))</f>
        <v/>
      </c>
      <c r="BE12" s="25" t="str">
        <f>IF(AND(OR(G12="Fuel Use",G12="Custom Fuel"),F12="Scope 1",ISBLANK(I12)=TRUE),T12,"")</f>
        <v/>
      </c>
      <c r="BF12" s="25" t="str">
        <f>IF(AND(OR(G12="Fuel Use",G12="Custom Fuel"),F12="Scope 1",ISBLANK(I12)=FALSE),T12,IF(AND(G12&lt;&gt;"Fuel Use",G12&lt;&gt;"Custom Fuel",F12="Scope 1"),T12,""))</f>
        <v/>
      </c>
      <c r="BG12" s="25" t="str">
        <f>IF(AND($F12="Scope 3",OR($G12="Fuel Use",$G12="Custom Fuel",$G12="Fuel Use and Vehicle Distance")),$R12,IF(AND($F12="Scope 3",OR($G12="Vehicle Distance (e.g. Road Transport)",$G12="Custom Vehicle"),ISBLANK($N12)=FALSE),$R12,""))</f>
        <v/>
      </c>
      <c r="BH12" s="25" t="str">
        <f>IF(AND($F12="Scope 3",AND(OR($G12="Vehicle Distance (e.g. Road Transport)",$G12="Custom Vehicle",$G12="Vehicle Distance (e.g. Public or Freight)"),OR($C12="US",$C12="Other"),ISBLANK($N12)=TRUE)),$R12,IF(AND($F12="Scope 3",$G12&lt;&gt;"Fuel Use",ISBLANK($N12)=TRUE),$R12,""))</f>
        <v/>
      </c>
      <c r="BI12" s="25" t="str">
        <f>IF(AND(OR(G12="Fuel Use",G12="Custom Fuel"),F12="Scope 3",ISBLANK(I12)=TRUE),S12,"")</f>
        <v/>
      </c>
      <c r="BJ12" s="25" t="str">
        <f>IF(AND(OR(G12="Fuel Use",G12="Custom Fuel"),F12="Scope 3",ISBLANK(I12)=FALSE),S12,IF(AND(G12&lt;&gt;"Fuel Use",G12&lt;&gt;"Custom Fuel",F12="Scope 3"),S12,""))</f>
        <v/>
      </c>
      <c r="BK12" s="25" t="str">
        <f>IF(AND(OR(G12="Fuel Use",G12="Custom Fuel"),F12="Scope 3",ISBLANK(I12)=TRUE),T12,"")</f>
        <v/>
      </c>
      <c r="BL12" s="25" t="str">
        <f>IF(AND(OR(G12="Fuel Use",G12="Custom Fuel"),F12="Scope 3",ISBLANK(I12)=FALSE),T12,IF(AND(G12&lt;&gt;"Fuel Use",G12&lt;&gt;"Custom Fuel",F12="Scope 3"),T12,""))</f>
        <v/>
      </c>
      <c r="BM12" s="25" t="str">
        <f>IF(OR($G12="Fuel Use",$G12="Custom Fuel"),$V12,IF(AND(OR($G12="Vehicle Distance (e.g. Road Transport)",$G12="Custom Vehicle"),ISBLANK($N12)=FALSE),$V12,""))</f>
        <v/>
      </c>
      <c r="BN12" s="25" t="str">
        <f ca="1">IF(AND(AND(OR($G12="Vehicle Distance (e.g. Road Transport)",$G12="Custom Vehicle"),OR($C12="US",$C12="Other"),ISBLANK($N12)=TRUE)),$V12,IF(AND($G12&lt;&gt;"Fuel Use",ISBLANK($N12)=TRUE),$V12,""))</f>
        <v/>
      </c>
      <c r="BO12" s="25" t="str">
        <f t="shared" si="11"/>
        <v/>
      </c>
      <c r="BP12" s="25" t="str">
        <f t="shared" si="12"/>
        <v/>
      </c>
      <c r="BQ12" s="25" t="str">
        <f t="shared" si="13"/>
        <v/>
      </c>
      <c r="BR12" s="25" t="str">
        <f t="shared" si="14"/>
        <v/>
      </c>
      <c r="BS12" s="25" t="str">
        <f t="shared" si="15"/>
        <v/>
      </c>
      <c r="BT12" s="25" t="str">
        <f t="shared" si="16"/>
        <v/>
      </c>
      <c r="BU12" s="25" t="str">
        <f t="shared" si="17"/>
        <v/>
      </c>
      <c r="BV12" s="25" t="str">
        <f t="shared" si="18"/>
        <v/>
      </c>
      <c r="BW12" s="25" t="str">
        <f t="shared" si="19"/>
        <v/>
      </c>
      <c r="BX12" s="25" t="str">
        <f t="shared" si="20"/>
        <v/>
      </c>
      <c r="BY12" s="25" t="str">
        <f t="shared" si="21"/>
        <v/>
      </c>
      <c r="BZ12" s="25" t="str">
        <f t="shared" si="22"/>
        <v/>
      </c>
      <c r="CA12" s="25" t="str">
        <f t="shared" si="23"/>
        <v/>
      </c>
      <c r="CB12" s="25" t="str">
        <f t="shared" si="24"/>
        <v/>
      </c>
      <c r="CC12" s="25" t="str">
        <f t="shared" si="25"/>
        <v/>
      </c>
      <c r="CD12" s="25" t="str">
        <f t="shared" si="26"/>
        <v/>
      </c>
      <c r="CE12" s="25" t="str">
        <f t="shared" si="27"/>
        <v/>
      </c>
      <c r="CF12" s="25" t="str">
        <f t="shared" si="28"/>
        <v/>
      </c>
      <c r="CG12" s="25" t="str">
        <f t="shared" si="29"/>
        <v/>
      </c>
      <c r="CH12" s="25" t="str">
        <f t="shared" si="30"/>
        <v/>
      </c>
      <c r="CI12" s="25" t="str">
        <f t="shared" si="31"/>
        <v/>
      </c>
      <c r="CJ12" s="25" t="str">
        <f t="shared" si="32"/>
        <v/>
      </c>
      <c r="CK12" s="25" t="str">
        <f t="shared" si="33"/>
        <v/>
      </c>
      <c r="CL12" s="25" t="str">
        <f t="shared" si="34"/>
        <v/>
      </c>
      <c r="CM12" s="25" t="str">
        <f t="shared" si="35"/>
        <v/>
      </c>
      <c r="CN12" s="25" t="str">
        <f t="shared" si="36"/>
        <v/>
      </c>
      <c r="CO12" s="25" t="str">
        <f t="shared" si="37"/>
        <v/>
      </c>
      <c r="CP12" s="25" t="str">
        <f t="shared" si="38"/>
        <v/>
      </c>
      <c r="CQ12" s="25" t="str">
        <f t="shared" si="39"/>
        <v/>
      </c>
      <c r="CR12" s="25" t="str">
        <f t="shared" si="40"/>
        <v/>
      </c>
      <c r="CS12" s="25" t="str">
        <f t="shared" si="41"/>
        <v/>
      </c>
      <c r="CT12" s="25" t="str">
        <f t="shared" si="42"/>
        <v/>
      </c>
      <c r="CU12" s="25" t="str">
        <f t="shared" si="43"/>
        <v/>
      </c>
      <c r="CV12" s="25" t="str">
        <f t="shared" si="44"/>
        <v/>
      </c>
      <c r="CW12" s="25" t="str">
        <f t="shared" si="45"/>
        <v/>
      </c>
      <c r="CX12" s="25" t="str" cm="1">
        <f t="array" ref="CX12">_xlfn.IFNA(_xlfn.IFS(
$G12="Weight Distance (e.g. Freight Transport)","Ref_DD_WeightDistanceUnits",
$G12="Passenger Distance (e.g. Public Transport)","Ref_DD_PasengerDistanceUnits",
$G12="Vehicle Distance (e.g. Road Transport)", "Ref_DD_DistanceUnit",
$G12="Vehicle Distance (e.g. Public or Freight Transport)","Ref_DD_DistanceUnit",
$G12="Fuel Use and Vehicle Distance", "Ref_DD_DistanceUnit",
$G12="Custom Vehicle",VLOOKUP($H12,'2. Settings'!$B$39:$I$54,8,FALSE)),"")</f>
        <v/>
      </c>
      <c r="CY12" s="27" t="str">
        <f ca="1">IF(AND(ISERROR(#REF!*$AU12)=TRUE,ISERROR((S12/1000)*$AV12)=TRUE,ISERROR((T12/1000)*$AW12)=FALSE),((T12/1000)*$AW12),"")</f>
        <v/>
      </c>
      <c r="CZ12" s="27" cm="1">
        <f t="array" ref="CZ12">IFERROR(_xlfn.IFS(
AND($G12="Custom vehicle",OR($J12="Passenger Mile",$J12="Passenger Kilometer")),"Passenger Distance (e.g. Public Transport)",
AND($G12="Custom vehicle",OR($J12="Tonne Mile",$J12="Tonne Kilometer",$J12="Short Ton Kilometer",$J12="Short Ton Mile")),"Weight Distance (e.g. Freight Transport)",
AND($G12="Custom vehicle",OR($J12="Mile",$J12="Kilometer")),"Vehicle Distance (e.g. Road Transport)",
$G12&lt;&gt;"Custom vehicle",$G12),"")</f>
        <v>0</v>
      </c>
      <c r="DA12" s="27" t="str" cm="1">
        <f t="array" ref="DA12">IFERROR(_xlfn.IFS(OR(J12="Tonne Kilometer",J12="Tonne Mile",J12="Short Ton Mile",J12="Short Ton Kilometer"),I12*K12,OR(J12="Passenger Kilometer",J12="Passenger Mile"),I12*L12,OR(J12="Kilometer",J12="Mile"),$I12),"")</f>
        <v/>
      </c>
    </row>
    <row r="13" spans="2:105" x14ac:dyDescent="0.25">
      <c r="B13" s="244"/>
      <c r="C13" s="71" t="str" cm="1">
        <f t="array" ref="C13">IFERROR(_xlfn.IFS($D13="Other", D13&amp;"_" &amp;Ref_Other_to,OR($D13="UK", $D13="US"),$D13),"")</f>
        <v/>
      </c>
      <c r="D13" s="71"/>
      <c r="E13" s="71"/>
      <c r="F13" s="71"/>
      <c r="G13" s="72"/>
      <c r="H13" s="72"/>
      <c r="I13" s="73"/>
      <c r="J13" s="73"/>
      <c r="K13" s="73"/>
      <c r="L13" s="73"/>
      <c r="M13" s="74"/>
      <c r="N13" s="75"/>
      <c r="O13" s="71"/>
      <c r="P13" s="165" t="str">
        <f>IFERROR(IF(AND(C13&lt;&gt;"US",G13="Vehicle Distance (e.g. Road Transport)"),(VLOOKUP(H13,'Reference - EF Road'!A162:R178,16, FALSE)),""),"")</f>
        <v/>
      </c>
      <c r="Q13" s="166" t="str">
        <f t="shared" si="46"/>
        <v/>
      </c>
      <c r="R13" s="76" t="str" cm="1">
        <f t="array" aca="1" ref="R13" ca="1">IFERROR(_xlfn.IFS(
AND(AA13&gt;0, OR($G13="Fuel Use",$G13="Custom Fuel")),$N13*$AA13*$AM13*$AN13,
AND(AA13&gt;0,$CZ13="Vehicle Distance (e.g. Road Transport)"),$I13*$AA13*$AM13*$AN13,
AND(AA13&gt;0,$CZ13="Vehicle Distance (e.g. Public or Freight Transport)"),$I13*$AA13*$AM13*$AN13,
AND(AA13&gt;0,$CZ13="Fuel Use and Vehicle Distance"),$N13*$AA13*$AM13*$AN13,
AND(AA13&gt;0,$CZ13="Passenger Distance (e.g. Public Transport)"),$DA13*$AA13*$AM13*$AN13,
AND(AA13&gt;0,$CZ13="Weight Distance (e.g. Freight Transport)"),$DA13*$AA13*$AM13*$AN13),"")</f>
        <v/>
      </c>
      <c r="S13" s="135" t="str" cm="1">
        <f t="array" aca="1" ref="S13" ca="1">IFERROR(_xlfn.IFS(
AND(AG13&gt;-1, $G13="Fuel Use and Vehicle Distance"),$I13*$AG13*$AQ13*$AR13,
AND(AG13&gt;-1, $G13="Vehicle Distance (e.g. Road Transport)"),$I13*$AG13*$AQ13*$AR13,
AND(AG13&gt;-1, $CZ13="Vehicle Distance (e.g. Public or Freight Transport)"),$I13*$AG13*$AQ13*$AR13,
AND(AG13&gt;-1, OR($G13="Fuel Use",$G13="Custom Fuel")), $N13*$AG13*$AQ13*$AR13*1000,
AND(AG13&gt;-1, $G13="Custom Vehicle"),$DA13*$AG13*$AQ13*$AR13*1000,
AND(AG13&gt;-1, AND($G13&lt;&gt;"Custom Vehicle",$CZ13="Weight Distance (e.g. Freight Transport)")),$DA13*$AG13*$AQ13*$AR13*1000,
AND(AG13&gt;-1, AND($G13&lt;&gt;"Custom Vehicle",$CZ13="Passenger Distance (e.g. Public Transport)")), $DA13*$AG13*$AQ13*$AR13*1000),"")</f>
        <v/>
      </c>
      <c r="T13" s="134" t="str" cm="1">
        <f t="array" aca="1" ref="T13" ca="1">IFERROR(_xlfn.IFS(
AND(AJ13&gt;0,$G13="Fuel Use and Vehicle Distance"),$I13*$AJ13*$AS13*$AT13,
AND(AJ13&gt;0,$G13="Vehicle Distance (e.g. Road Transport)"),$I13*$AJ13*$AS13*$AT13,
AND(AJ13&gt;0,$G13="Vehicle Distance (e.g. Public or Freight Transport)"),$I13*$AJ13*$AS13*$AT13,
AND(AJ13&gt;0,OR($G13="Fuel Use",$G13="Custom Fuel")), $N13*$AJ13*$AS13*$AT13*1000,
AND(AJ13&gt;0,$G13="Custom Vehicle"),$DA13*$AJ13*$AS13*$AT13*1000,
AND(AJ13&gt;0,AND($G13&lt;&gt;"Custom Vehicle",$CZ13="Weight Distance (e.g. Freight Transport)")),$DA13*$AJ13*$AS13*$AT13*1000,
AND(AJ13&gt;0,AND($G13&lt;&gt;"Custom Vehicle",$CZ13="Passenger Distance (e.g. Public Transport)")), $DA13*$AJ13*$AS13*$AT13*1000),"")</f>
        <v/>
      </c>
      <c r="U13" s="78" t="str">
        <f t="shared" ca="1" si="47"/>
        <v/>
      </c>
      <c r="V13" s="161" t="str" cm="1">
        <f t="array" aca="1" ref="V13" ca="1">IFERROR(_xlfn.IFS(
AND(AD13&gt;0,OR($CZ13="Fuel Use",$CZ13="Custom Fuel",$CZ13="Fuel Use and Vehicle Distance")),($N13*$AD13*$AO13*$AP13),
AND(AD13&gt;0,$G13="Custom Vehicle"),$DA13*$AD13*$AO13*$AP13,
AND(AD13&gt;0,$CZ13="Vehicle Distance (e.g. Public or Freight Transport)"),$I13*$AD13*$AM13*$AN13,
AND(AD13&gt;0,$CZ13="Weight Distance (e.g. Freight Transport)"),($I13*$K13*$AD13*$AO13*$AP13),
AND(AD13&gt;0,$CZ13="Passenger Distance (e.g. Public Transport)"),$I13*$L13*$AD13*$AO13*$AP13,
AND(AD13&gt;0,$CZ13="Vehicle Distance (e.g. Road Transport)"),($I13*$AD13*$AO13*$AP13)),"")</f>
        <v/>
      </c>
      <c r="W13" s="164" t="str" cm="1">
        <f t="array" aca="1" ref="W13" ca="1">IFERROR(_xlfn.IFS(AND(ISNUMBER(R13),AA13=0),AA13&amp;" "&amp;"("&amp;AB13&amp;" CO2/"&amp;AC13&amp;")",AND(ISNUMBER(R13),AA13&gt;0),ROUND(AA13,INT(3-LOG(AA13)))&amp;" "&amp;"("&amp;AB13&amp;" CO2/"&amp;AC13&amp;")"),"")</f>
        <v/>
      </c>
      <c r="X13" s="164" t="str" cm="1">
        <f t="array" aca="1" ref="X13" ca="1">IFERROR(_xlfn.IFS(AND(ISNUMBER(S13), AG13=0),AG13&amp;" "&amp;"("&amp;AH13&amp;" CH4/"&amp;AI13&amp;")",AND(ISNUMBER(S13), AG13&gt;0),ROUND(AG13,INT(3-LOG(AG13)))&amp;" "&amp;"("&amp;AH13&amp;" CH4/"&amp;AI13&amp;")"),"")</f>
        <v/>
      </c>
      <c r="Y13" s="164" t="str" cm="1">
        <f t="array" aca="1" ref="Y13" ca="1">IFERROR(_xlfn.IFS(AND(ISNUMBER(T13), AJ13=0),AJ13&amp;" "&amp;"("&amp;AK13&amp;" CH4/"&amp;AL13&amp;")",AND(ISNUMBER(T13), AJ13&gt;0),ROUND(AJ13,INT(3-LOG(AJ13)))&amp;" "&amp;"("&amp;AK13&amp;" N2O/"&amp;AL13&amp;")"),"")</f>
        <v/>
      </c>
      <c r="Z13" s="245" t="str" cm="1">
        <f t="array" aca="1" ref="Z13" ca="1">IFERROR(_xlfn.IFS(AND(ISNUMBER(V13),AD13=0),AD13&amp;" "&amp;"("&amp;AE13&amp;" CO2/"&amp;AF13&amp;")",AND(ISNUMBER(V13),AD13&gt;0),ROUND(AD13,INT(3-LOG(AD13)))&amp;" "&amp;"("&amp;AE13&amp;" CO2/"&amp;AF13&amp;")"),"")</f>
        <v/>
      </c>
      <c r="AA13" s="240" t="str" cm="1">
        <f t="array" aca="1" ref="AA13" ca="1">IFERROR(_xlfn.IFS(
OR($G13="Fuel Use",$G13="Fuel Use and Vehicle Distance"),VLOOKUP($M13,INDIRECT("Ref_EF_ByFuel"&amp;"_"&amp;$C13),3,0),
$G13="Vehicle Distance (e.g. Road Transport)",VLOOKUP($H13,INDIRECT("Ref_EF_Vehicle_Distance"&amp;"_"&amp;$C13),3,0),
$G13="Vehicle Distance (e.g. Public or Freight Transport)",VLOOKUP($H13,INDIRECT("Ref_EF_Vehicle_Distance_S3"&amp;"_"&amp;$C13),3,0),
$G13="Custom Vehicle",VLOOKUP($H13,Tbl_vehical_Settings,2,0),
$G13="Custom Fuel",VLOOKUP($M13,Tbl_Fuel_Settings,2,0),
$G13="Weight Distance (e.g. Freight Transport)",VLOOKUP($H13,INDIRECT("Ref_EF_Weight_Distance"&amp;"_"&amp;$C13),3,0),
$G13="Passenger Distance (e.g. Public Transport)",VLOOKUP($H13,INDIRECT("Ref_EF_Public_Transport"&amp;"_"&amp;$C13),3,0)),"")</f>
        <v/>
      </c>
      <c r="AB13" s="31" t="str" cm="1">
        <f t="array" aca="1" ref="AB13" ca="1">IFERROR(_xlfn.IFS(
OR($G13="Fuel Use",$G13="Fuel Use and Vehicle Distance"),VLOOKUP($M13,INDIRECT("Ref_EF_ByFuel"&amp;"_"&amp;$C13),5,0),
$G13="Vehicle Distance (e.g. Road Transport)",VLOOKUP($H13,INDIRECT("Ref_EF_Vehicle_Distance"&amp;"_"&amp;$C13),5,0),
$G13="Vehicle Distance (e.g. Public or Freight Transport)",VLOOKUP($H13,INDIRECT("Ref_EF_Vehicle_Distance_S3"&amp;"_"&amp;$C13),5,0),
$G13="Custom Vehicle",VLOOKUP($H13,Tbl_vehical_Settings,6,0),
$G13="Custom Fuel",VLOOKUP($M13,Tbl_Fuel_Settings,6,0),
$G13="Weight Distance (e.g. Freight Transport)",VLOOKUP($H13,INDIRECT("Ref_EF_Weight_Distance"&amp;"_"&amp;$C13),5,0),
$G13="Passenger Distance (e.g. Public Transport)",VLOOKUP($H13,INDIRECT("Ref_EF_Public_Transport"&amp;"_"&amp;$C13),5,0)),"")</f>
        <v/>
      </c>
      <c r="AC13" s="31" t="str" cm="1">
        <f t="array" aca="1" ref="AC13" ca="1">IFERROR(_xlfn.IFS(
OR($G13="Fuel Use",$G13="Fuel Use and Vehicle Distance"),VLOOKUP($M13,INDIRECT("Ref_EF_ByFuel"&amp;"_"&amp;$C13),6,0),
$G13="Vehicle Distance (e.g. Road Transport)",VLOOKUP($H13,INDIRECT("Ref_EF_Vehicle_Distance"&amp;"_"&amp;$C13),6,0),
$G13="Vehicle Distance (e.g. Public or Freight Transport)",VLOOKUP($H13,INDIRECT("Ref_EF_Vehicle_Distance_S3"&amp;"_"&amp;$C13),6,0),
$G13="Custom Vehicle",VLOOKUP($H13,Tbl_vehical_Settings,7,0),
$G13="Custom Fuel",VLOOKUP($M13,Tbl_Fuel_Settings,7,0),
$G13="Weight Distance (e.g. Freight Transport)",VLOOKUP($H13,INDIRECT("Ref_EF_Weight_Distance"&amp;"_"&amp;$C13),6,0),
$G13="Passenger Distance (e.g. Public Transport)",VLOOKUP($H13,INDIRECT("Ref_EF_Public_Transport"&amp;"_"&amp;$C13),6,0)),"")</f>
        <v/>
      </c>
      <c r="AD13" s="31" t="str" cm="1">
        <f t="array" aca="1" ref="AD13" ca="1">IFERROR(_xlfn.IFS(
OR($G13="Fuel Use",$G13="Fuel Use and Vehicle Distance"),VLOOKUP($M13,INDIRECT("Ref_EF_ByFuel"&amp;"_"&amp;$C13),4,0),
$G13="Vehicle Distance (e.g. Road Transport)",VLOOKUP($H13,INDIRECT("Ref_EF_Vehicle_Distance"&amp;"_"&amp;$C13),4,0),
$G13="Vehicle Distance (e.g. Public or Freight Transport)",VLOOKUP($H13,INDIRECT("Ref_EF_Vehicle_Distance_S3"&amp;"_"&amp;$C13),4,0),
$G13="Custom Vehicle",VLOOKUP($H13,Tbl_vehical_Settings,5,0),
$G13="Custom Fuel",VLOOKUP($M13,Tbl_Fuel_Settings,5,0),
$G13="Weight Distance (e.g. Freight Transport)",VLOOKUP($H13,INDIRECT("Ref_EF_Weight_Distance"&amp;"_"&amp;$C13),4,0),
$G13="Passenger Distance (e.g. Public Transport)",VLOOKUP($H13,INDIRECT("Ref_EF_Public_Transport"&amp;"_"&amp;$C13),4,0)),"")</f>
        <v/>
      </c>
      <c r="AE13" s="31" t="str" cm="1">
        <f t="array" aca="1" ref="AE13" ca="1">IFERROR(_xlfn.IFS(
OR($G13="Fuel Use",$G13="Fuel Use and Vehicle Distance"),VLOOKUP($M13,INDIRECT("Ref_EF_ByFuel"&amp;"_"&amp;$C13),5,0),
$G13="Vehicle Distance (e.g. Road Transport)",VLOOKUP($H13,INDIRECT("Ref_EF_Vehicle_Distance"&amp;"_"&amp;$C13),5,0),
$G13="Vehicle Distance (e.g. Public or Freight Transport)",VLOOKUP($H13,INDIRECT("Ref_EF_Vehicle_Distance_S3"&amp;"_"&amp;$C13),5,0),
$G13="Custom Vehicle",VLOOKUP($H13,Tbl_vehical_Settings,6,0),
$G13="Custom Fuel",VLOOKUP($M13,Tbl_Fuel_Settings,6,0),
$G13="Weight Distance (e.g. Freight Transport)",VLOOKUP($H13,INDIRECT("Ref_EF_Weight_Distance"&amp;"_"&amp;$C13),5,0),
$G13="Passenger Distance (e.g. Public Transport)",VLOOKUP($H13,INDIRECT("Ref_EF_Public_Transport"&amp;"_"&amp;$C13),5,0)),"")</f>
        <v/>
      </c>
      <c r="AF13" s="31" t="str" cm="1">
        <f t="array" aca="1" ref="AF13" ca="1">IFERROR(_xlfn.IFS(
OR($G13="Fuel Use",$G13="Fuel Use and Vehicle Distance"),VLOOKUP($M13,INDIRECT("Ref_EF_ByFuel"&amp;"_"&amp;$C13),6,0),
$G13="Vehicle Distance (e.g. Road Transport)",VLOOKUP($H13,INDIRECT("Ref_EF_Vehicle_Distance"&amp;"_"&amp;$C13),6,0),
$G13="Vehicle Distance (e.g. Public or Freight Transport)",VLOOKUP($H13,INDIRECT("Ref_EF_Vehicle_Distance_S3"&amp;"_"&amp;$C13),6,0),
$G13="Custom Vehicle",VLOOKUP($H13,Tbl_vehical_Settings,7,0),
$G13="Custom Fuel",VLOOKUP($M13,Tbl_Fuel_Settings,7,0),
$G13="Weight Distance (e.g. Freight Transport)",VLOOKUP($H13,INDIRECT("Ref_EF_Weight_Distance"&amp;"_"&amp;$C13),6,0),
$G13="Passenger Distance (e.g. Public Transport)",VLOOKUP($H13,INDIRECT("Ref_EF_Public_Transport"&amp;"_"&amp;$C13),6,0)),"")</f>
        <v/>
      </c>
      <c r="AG13" s="31" t="str" cm="1">
        <f t="array" aca="1" ref="AG13" ca="1">IFERROR(_xlfn.IFS(
AND($G13="Fuel Use",$E13&lt;&gt;"Road"),VLOOKUP($H13,INDIRECT("Ref_EF_ByFuel_CH4"&amp;"_"&amp;$C13),3,0),
$G13="Vehicle Distance (e.g. Road Transport)",VLOOKUP($H13,INDIRECT("Ref_EF_Vehicle_Distance"&amp;"_"&amp;$C13),7,0),
$G13="Vehicle Distance (e.g. Public or Freight Transport)",VLOOKUP($H13,INDIRECT("Ref_EF_Vehicle_Distance_S3"&amp;"_"&amp;$C13),7,0),
$G13="Fuel Use and Vehicle Distance",VLOOKUP($H13,INDIRECT("Ref_EF_Fuel_Vehicle_Distance"&amp;"_"&amp;$C13),3,0),
$G13="Custom Vehicle",VLOOKUP($H13,Tbl_vehical_Settings,3,0),
$G13="Custom Fuel",VLOOKUP($M13,Tbl_Fuel_Settings,3,0),
$G13="Weight Distance (e.g. Freight Transport)",VLOOKUP($H13,INDIRECT("Ref_EF_Weight_Distance_CH4"&amp;"_"&amp;$C13),3,0),
$G13="Passenger Distance (e.g. Public Transport)",VLOOKUP($H13,INDIRECT("Ref_EF_Public_Transport_CH4"&amp;"_"&amp;$C13),7,0)),"")</f>
        <v/>
      </c>
      <c r="AH13" s="31" t="str" cm="1">
        <f t="array" aca="1" ref="AH13" ca="1">IFERROR(_xlfn.IFS(
AND($G13="Fuel Use",$E13&lt;&gt;"Road"),VLOOKUP($H13,INDIRECT("Ref_EF_ByFuel_CH4"&amp;"_"&amp;$C13),4,0),
$G13="Vehicle Distance (e.g. Road Transport)",VLOOKUP($H13,INDIRECT("Ref_EF_Vehicle_Distance"&amp;"_"&amp;$C13),8,0),
$G13="Vehicle Distance (e.g. Public or Freight Transport)",VLOOKUP($H13,INDIRECT("Ref_EF_Vehicle_Distance_S3"&amp;"_"&amp;$C13),8,0),
$G13="Fuel Use and Vehicle Distance",VLOOKUP($H13,INDIRECT("Ref_EF_Fuel_Vehicle_Distance"&amp;"_"&amp;$C13),4,0),
$G13="Custom Vehicle",VLOOKUP($H13,Tbl_vehical_Settings,6,0),
$G13="Custom Fuel",VLOOKUP($M13,Tbl_Fuel_Settings,6,0),
$G13="Weight Distance (e.g. Freight Transport)",VLOOKUP($H13,INDIRECT("Ref_EF_Weight_Distance_CH4"&amp;"_"&amp;$C13),4,0),
$G13="Passenger Distance (e.g. Public Transport)",VLOOKUP($H13,INDIRECT("Ref_EF_Public_Transport_CH4"&amp;"_"&amp;$C13),8,0)),"")</f>
        <v/>
      </c>
      <c r="AI13" s="31" t="str" cm="1">
        <f t="array" aca="1" ref="AI13" ca="1">IFERROR(_xlfn.IFS(
AND($G13="Fuel Use",$E13&lt;&gt;"Road"),VLOOKUP($H13,INDIRECT("Ref_EF_ByFuel_CH4"&amp;"_"&amp;$C13),5,0),
$G13="Vehicle Distance (e.g. Road Transport)",VLOOKUP($H13,INDIRECT("Ref_EF_Vehicle_Distance"&amp;"_"&amp;$C13),9,0),
$G13="Vehicle Distance (e.g. Public or Freight Transport)",VLOOKUP($H13,INDIRECT("Ref_EF_Vehicle_Distance_S3"&amp;"_"&amp;$C13),9,0),
$G13="Fuel Use and Vehicle Distance",VLOOKUP($H13,INDIRECT("Ref_EF_Fuel_Vehicle_Distance"&amp;"_"&amp;$C13),5,0),
$G13="Custom Vehicle",VLOOKUP($H13,Tbl_vehical_Settings,7,0),
$G13="Custom Fuel",VLOOKUP($M13,Tbl_Fuel_Settings,7,0),
$G13="Weight Distance (e.g. Freight Transport)",VLOOKUP($H13,INDIRECT("Ref_EF_Weight_Distance_CH4"&amp;"_"&amp;$C13),5,0),
$G13="Passenger Distance (e.g. Public Transport)",VLOOKUP($H13,INDIRECT("Ref_EF_Public_Transport_CH4"&amp;"_"&amp;$C13),9,0)),"")</f>
        <v/>
      </c>
      <c r="AJ13" s="31" t="str" cm="1">
        <f t="array" aca="1" ref="AJ13" ca="1">IFERROR(_xlfn.IFS(
AND($G13="Fuel Use",$E13&lt;&gt;"Road"),VLOOKUP($H13,INDIRECT("Ref_EF_ByFuel_CH4"&amp;"_"&amp;$C13),6,0),
$G13="Vehicle Distance (e.g. Road Transport)",VLOOKUP($H13,INDIRECT("Ref_EF_Vehicle_Distance"&amp;"_"&amp;$C13),10,0),
$G13="Vehicle Distance (e.g. Public or Freight Transport)",VLOOKUP($H13,INDIRECT("Ref_EF_Vehicle_Distance_S3"&amp;"_"&amp;$C13),10,0),
$G13="Fuel Use and Vehicle Distance",VLOOKUP($H13,INDIRECT("Ref_EF_Fuel_Vehicle_Distance"&amp;"_"&amp;$C13),6,0),
$G13="Custom Vehicle",VLOOKUP($H13,Tbl_vehical_Settings,4,0),
$G13="Custom Fuel",VLOOKUP($M13,Tbl_Fuel_Settings,4,0),
$G13="Weight Distance (e.g. Freight Transport)",VLOOKUP($H13,INDIRECT("Ref_EF_Weight_Distance_CH4"&amp;"_"&amp;$C13),6,0),
$G13="Passenger Distance (e.g. Public Transport)",VLOOKUP($H13,INDIRECT("Ref_EF_Public_Transport_CH4"&amp;"_"&amp;$C13),10,0)),"")</f>
        <v/>
      </c>
      <c r="AK13" s="31" t="str" cm="1">
        <f t="array" aca="1" ref="AK13" ca="1">IFERROR(_xlfn.IFS(
AND($G13="Fuel Use",$E13&lt;&gt;"Road"),VLOOKUP($H13,INDIRECT("Ref_EF_ByFuel_CH4"&amp;"_"&amp;$C13),7,0),
$G13="Vehicle Distance (e.g. Road Transport)",VLOOKUP($H13,INDIRECT("Ref_EF_Vehicle_Distance"&amp;"_"&amp;$C13),11,0),
$G13="Vehicle Distance (e.g. Public or Freight Transport)",VLOOKUP($H13,INDIRECT("Ref_EF_Vehicle_Distance_S3"&amp;"_"&amp;$C13),11,0),
$G13="Fuel Use and Vehicle Distance",VLOOKUP($H13,INDIRECT("Ref_EF_Fuel_Vehicle_Distance"&amp;"_"&amp;$C13),7,0),
$G13="Custom Vehicle",VLOOKUP($H13,Tbl_vehical_Settings,6,0),
$G13="Custom Fuel",VLOOKUP($M13,Tbl_Fuel_Settings,6,0),
$G13="Weight Distance (e.g. Freight Transport)",VLOOKUP($H13,INDIRECT("Ref_EF_Weight_Distance_CH4"&amp;"_"&amp;$C13),7,0),
$G13="Passenger Distance (e.g. Public Transport)",VLOOKUP($H13,INDIRECT("Ref_EF_Public_Transport_CH4"&amp;"_"&amp;$C13),11,0)),"")</f>
        <v/>
      </c>
      <c r="AL13" s="31" t="str" cm="1">
        <f t="array" aca="1" ref="AL13" ca="1">IFERROR(_xlfn.IFS(
AND($G13="Fuel Use",$E13&lt;&gt;"Road"),VLOOKUP($H13,INDIRECT("Ref_EF_ByFuel_CH4"&amp;"_"&amp;$C13),8,0),
$G13="Vehicle Distance (e.g. Road Transport)",VLOOKUP($H13,INDIRECT("Ref_EF_Vehicle_Distance"&amp;"_"&amp;$C13),12,0),
$G13="Vehicle Distance (e.g. Public or Freight Transport)",VLOOKUP($H13,INDIRECT("Ref_EF_Vehicle_Distance_S3"&amp;"_"&amp;$C13),12,0),
$G13="Fuel Use and Vehicle Distance",VLOOKUP($H13,INDIRECT("Ref_EF_Fuel_Vehicle_Distance"&amp;"_"&amp;$C13),8,0),
$G13="Custom Vehicle",VLOOKUP($H13,Tbl_vehical_Settings,7,0),
$G13="Custom Fuel",VLOOKUP($M13,Tbl_Fuel_Settings,7,0),
$G13="Weight Distance (e.g. Freight Transport)",VLOOKUP($H13,INDIRECT("Ref_EF_Weight_Distance_CH4"&amp;"_"&amp;$C13),8,0),
$G13="Passenger Distance (e.g. Public Transport)",VLOOKUP($H13,INDIRECT("Ref_EF_Public_Transport_CH4"&amp;"_"&amp;$C13),12,0)),"")</f>
        <v/>
      </c>
      <c r="AM13" s="31" t="e">
        <f ca="1">INDEX(Ref_Master_Unit_Table,MATCH($AB13,REF_To_Unit,0),MATCH('Reference - Lookup and Unit'!$A$11,Ref_From_Units,0))</f>
        <v>#N/A</v>
      </c>
      <c r="AN13" s="31" t="e">
        <f t="shared" ca="1" si="0"/>
        <v>#N/A</v>
      </c>
      <c r="AO13" s="31" t="e">
        <f ca="1">INDEX(Ref_Master_Unit_Table,MATCH($AE13,REF_To_Unit,0),MATCH('Reference - Lookup and Unit'!$A$11,Ref_From_Units,0))</f>
        <v>#N/A</v>
      </c>
      <c r="AP13" s="31" t="e">
        <f t="shared" ca="1" si="1"/>
        <v>#N/A</v>
      </c>
      <c r="AQ13" s="31" t="e">
        <f ca="1">INDEX(Ref_Master_Unit_Table,MATCH($AH13,REF_To_Unit,0),MATCH('Reference - Lookup and Unit'!$A$11,Ref_From_Units,0))</f>
        <v>#N/A</v>
      </c>
      <c r="AR13" s="31" t="e">
        <f t="shared" ca="1" si="2"/>
        <v>#N/A</v>
      </c>
      <c r="AS13" s="31" t="e">
        <f ca="1">INDEX(Ref_Master_Unit_Table,MATCH($AK13,REF_To_Unit,0),MATCH('Reference - Lookup and Unit'!$A$11,Ref_From_Units,0))</f>
        <v>#N/A</v>
      </c>
      <c r="AT13" s="31" t="e">
        <f t="shared" ca="1" si="3"/>
        <v>#N/A</v>
      </c>
      <c r="AU13" s="31" t="e" cm="1">
        <f t="array" aca="1" ref="AU13"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13" s="31">
        <f t="shared" ca="1" si="48"/>
        <v>27.9</v>
      </c>
      <c r="AW13" s="31">
        <f t="shared" ca="1" si="49"/>
        <v>273</v>
      </c>
      <c r="AX13" s="31" t="e" cm="1">
        <f t="array" aca="1" ref="AX13"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13" s="25" t="e" cm="1">
        <f t="array" ref="AY13">_xlfn.IFS(
AND($E13&lt;&gt;"",$G13="Custom Fuel"),("Settings_Custom_Fuels"),
AND($E13&lt;&gt;"",$G13="Custom vehicle"),("Settings_Custom_Vehicle"),
AND($E13&lt;&gt;"",$G13="Fuel Use"),("Ref_DD_vehicle_FuelUse"&amp;"_"&amp;C13&amp;"_"&amp;E13),
AND($E13&lt;&gt;"",$G13="Fuel Use and Vehicle Distance"),("Ref_DD_Fuel_VehicleDistance"&amp;"_"&amp;C13&amp;"_"&amp;E13),
AND($E13&lt;&gt;"",$G13="Vehicle Distance (e.g. Road Transport)"),("Ref_DD_vehicle_VehicleDistance"&amp;"_"&amp;C13&amp;"_"&amp;E13),
AND($E13&lt;&gt;"",$G13="Weight Distance (e.g. Freight Transport)"),("Ref_DD_vehicle_WeightDistance"&amp;"_"&amp;C13&amp;"_"&amp;E13),
AND($E13&lt;&gt;"",$G13="Vehicle Distance (e.g. Public or Freight Transport)"),("Ref_DD_vehicle_DistanceS3"&amp;"_"&amp;C13),
AND($E13&lt;&gt;"",$G13="Passenger Distance (e.g. Public Transport)"),("Ref_DD_vehicle_Passenger"&amp;"_"&amp;C13&amp;"_"&amp;E13),
AND($E13="",$G13="Fuel Use"),("Ref_DD_vehicle_FuelUse"&amp;"_"&amp;C13),
AND($E13="",OR($G13="Vehicle Distance (e.g. Road Transport)",$G13="Fuel Use and Vehicle Distance")),("Ref_DD_vehicle_VehicleDistance"&amp;"_"&amp;C13),
AND($E13="",$G13="Weight Distance (e.g. Freight Transport)"),("Ref_DD_vehicle_WeightDistance"&amp;"_"&amp;C13),
AND($E13="",$G13="Vehicle Distance (e.g. Public or Freight Transport)"),("Ref_DD_vehicle_DistanceS3"&amp;"_"&amp;C13),
AND($E13="",$G13="Passenger Distance (e.g. Public Transport)"),("Ref_DD_vehicle_Passenger"&amp;"_"&amp;C13))</f>
        <v>#N/A</v>
      </c>
      <c r="AZ13" s="25" t="b">
        <f t="shared" ca="1" si="4"/>
        <v>0</v>
      </c>
      <c r="BA13" s="25" t="str">
        <f t="shared" si="5"/>
        <v/>
      </c>
      <c r="BB13" s="25" t="str">
        <f t="shared" si="6"/>
        <v/>
      </c>
      <c r="BC13" s="25" t="str">
        <f t="shared" ref="BC13:BC53" si="50">IF(AND(OR(G13="Fuel Use",G13="Custom Fuel"),F13="Scope 1",ISBLANK(I13)=TRUE),S13,"")</f>
        <v/>
      </c>
      <c r="BD13" s="25" t="str">
        <f t="shared" ref="BD13:BD53" si="51">IF(AND(OR(G13="Fuel Use",G13="Custom Fuel"),F13="Scope 1",ISBLANK(I13)=FALSE),S13,IF(AND(G13&lt;&gt;"Fuel Use",G13&lt;&gt;"Custom Fuel",F13="Scope 1"),S13,""))</f>
        <v/>
      </c>
      <c r="BE13" s="25" t="str">
        <f t="shared" ref="BE13:BE53" si="52">IF(AND(OR(G13="Fuel Use",G13="Custom Fuel"),F13="Scope 1",ISBLANK(I13)=TRUE),T13,"")</f>
        <v/>
      </c>
      <c r="BF13" s="25" t="str">
        <f t="shared" ref="BF13:BF53" si="53">IF(AND(OR(G13="Fuel Use",G13="Custom Fuel"),F13="Scope 1",ISBLANK(I13)=FALSE),T13,IF(AND(G13&lt;&gt;"Fuel Use",G13&lt;&gt;"Custom Fuel",F13="Scope 1"),T13,""))</f>
        <v/>
      </c>
      <c r="BG13" s="25" t="str">
        <f t="shared" si="7"/>
        <v/>
      </c>
      <c r="BH13" s="25" t="str">
        <f t="shared" si="8"/>
        <v/>
      </c>
      <c r="BI13" s="25" t="str">
        <f t="shared" ref="BI13:BI53" si="54">IF(AND(OR(G13="Fuel Use",G13="Custom Fuel"),F13="Scope 3",ISBLANK(I13)=TRUE),S13,"")</f>
        <v/>
      </c>
      <c r="BJ13" s="25" t="str">
        <f t="shared" ref="BJ13:BJ53" si="55">IF(AND(OR(G13="Fuel Use",G13="Custom Fuel"),F13="Scope 3",ISBLANK(I13)=FALSE),S13,IF(AND(G13&lt;&gt;"Fuel Use",G13&lt;&gt;"Custom Fuel",F13="Scope 3"),S13,""))</f>
        <v/>
      </c>
      <c r="BK13" s="25" t="str">
        <f t="shared" ref="BK13:BK53" si="56">IF(AND(OR(G13="Fuel Use",G13="Custom Fuel"),F13="Scope 3",ISBLANK(I13)=TRUE),T13,"")</f>
        <v/>
      </c>
      <c r="BL13" s="25" t="str">
        <f t="shared" ref="BL13:BL53" si="57">IF(AND(OR(G13="Fuel Use",G13="Custom Fuel"),F13="Scope 3",ISBLANK(I13)=FALSE),T13,IF(AND(G13&lt;&gt;"Fuel Use",G13&lt;&gt;"Custom Fuel",F13="Scope 3"),T13,""))</f>
        <v/>
      </c>
      <c r="BM13" s="25" t="str">
        <f t="shared" si="9"/>
        <v/>
      </c>
      <c r="BN13" s="25" t="str">
        <f t="shared" ca="1" si="10"/>
        <v/>
      </c>
      <c r="BO13" s="25" t="str">
        <f t="shared" si="11"/>
        <v/>
      </c>
      <c r="BP13" s="25" t="str">
        <f t="shared" si="12"/>
        <v/>
      </c>
      <c r="BQ13" s="25" t="str">
        <f t="shared" si="13"/>
        <v/>
      </c>
      <c r="BR13" s="25" t="str">
        <f t="shared" si="14"/>
        <v/>
      </c>
      <c r="BS13" s="25" t="str">
        <f t="shared" si="15"/>
        <v/>
      </c>
      <c r="BT13" s="25" t="str">
        <f t="shared" si="16"/>
        <v/>
      </c>
      <c r="BU13" s="25" t="str">
        <f t="shared" si="17"/>
        <v/>
      </c>
      <c r="BV13" s="25" t="str">
        <f t="shared" si="18"/>
        <v/>
      </c>
      <c r="BW13" s="25" t="str">
        <f t="shared" si="19"/>
        <v/>
      </c>
      <c r="BX13" s="25" t="str">
        <f t="shared" si="20"/>
        <v/>
      </c>
      <c r="BY13" s="25" t="str">
        <f t="shared" si="21"/>
        <v/>
      </c>
      <c r="BZ13" s="25" t="str">
        <f t="shared" si="22"/>
        <v/>
      </c>
      <c r="CA13" s="25" t="str">
        <f t="shared" si="23"/>
        <v/>
      </c>
      <c r="CB13" s="25" t="str">
        <f t="shared" si="24"/>
        <v/>
      </c>
      <c r="CC13" s="25" t="str">
        <f t="shared" si="25"/>
        <v/>
      </c>
      <c r="CD13" s="25" t="str">
        <f t="shared" si="26"/>
        <v/>
      </c>
      <c r="CE13" s="25" t="str">
        <f t="shared" si="27"/>
        <v/>
      </c>
      <c r="CF13" s="25" t="str">
        <f t="shared" si="28"/>
        <v/>
      </c>
      <c r="CG13" s="25" t="str">
        <f t="shared" si="29"/>
        <v/>
      </c>
      <c r="CH13" s="25" t="str">
        <f t="shared" si="30"/>
        <v/>
      </c>
      <c r="CI13" s="25" t="str">
        <f t="shared" si="31"/>
        <v/>
      </c>
      <c r="CJ13" s="25" t="str">
        <f t="shared" si="32"/>
        <v/>
      </c>
      <c r="CK13" s="25" t="str">
        <f t="shared" si="33"/>
        <v/>
      </c>
      <c r="CL13" s="25" t="str">
        <f t="shared" si="34"/>
        <v/>
      </c>
      <c r="CM13" s="25" t="str">
        <f t="shared" si="35"/>
        <v/>
      </c>
      <c r="CN13" s="25" t="str">
        <f t="shared" si="36"/>
        <v/>
      </c>
      <c r="CO13" s="25" t="str">
        <f t="shared" si="37"/>
        <v/>
      </c>
      <c r="CP13" s="25" t="str">
        <f t="shared" si="38"/>
        <v/>
      </c>
      <c r="CQ13" s="25" t="str">
        <f t="shared" si="39"/>
        <v/>
      </c>
      <c r="CR13" s="25" t="str">
        <f t="shared" si="40"/>
        <v/>
      </c>
      <c r="CS13" s="25" t="str">
        <f t="shared" si="41"/>
        <v/>
      </c>
      <c r="CT13" s="25" t="str">
        <f t="shared" si="42"/>
        <v/>
      </c>
      <c r="CU13" s="25" t="str">
        <f t="shared" si="43"/>
        <v/>
      </c>
      <c r="CV13" s="25" t="str">
        <f t="shared" si="44"/>
        <v/>
      </c>
      <c r="CW13" s="25" t="str">
        <f t="shared" si="45"/>
        <v/>
      </c>
      <c r="CX13" s="25" t="str" cm="1">
        <f t="array" ref="CX13">_xlfn.IFNA(_xlfn.IFS(
$G13="Weight Distance (e.g. Freight Transport)","Ref_DD_WeightDistanceUnits",
$G13="Passenger Distance (e.g. Public Transport)","Ref_DD_PasengerDistanceUnits",
$G13="Vehicle Distance (e.g. Road Transport)", "Ref_DD_DistanceUnit",
$G13="Vehicle Distance (e.g. Public or Freight Transport)","Ref_DD_DistanceUnit",
$G13="Fuel Use and Vehicle Distance", "Ref_DD_DistanceUnit",
$G13="Custom Vehicle",VLOOKUP($H13,'2. Settings'!$B$39:$I$54,8,FALSE)),"")</f>
        <v/>
      </c>
      <c r="CY13" s="27" t="str">
        <f ca="1">IF(AND(ISERROR(#REF!*$AU13)=TRUE,ISERROR((S13/1000)*$AV13)=TRUE,ISERROR((T13/1000)*$AW13)=FALSE),((T13/1000)*$AW13),"")</f>
        <v/>
      </c>
      <c r="CZ13" s="27" cm="1">
        <f t="array" ref="CZ13">IFERROR(_xlfn.IFS(
AND($G13="Custom vehicle",OR($J13="Passenger Mile",$J13="Passenger Kilometer")),"Passenger Distance (e.g. Public Transport)",
AND($G13="Custom vehicle",OR($J13="Tonne Mile",$J13="Tonne Kilometer",$J13="Short Ton Kilometer",$J13="Short Ton Mile")),"Weight Distance (e.g. Freight Transport)",
AND($G13="Custom vehicle",OR($J13="Mile",$J13="Kilometer")),"Vehicle Distance (e.g. Road Transport)",
$G13&lt;&gt;"Custom vehicle",$G13),"")</f>
        <v>0</v>
      </c>
      <c r="DA13" s="27" t="str" cm="1">
        <f t="array" ref="DA13">IFERROR(_xlfn.IFS(OR(J13="Tonne Kilometer",J13="Tonne Mile",J13="Short Ton Mile",J13="Short Ton Kilometer"),I13*K13,OR(J13="Passenger Kilometer",J13="Passenger Mile"),I13*L13,OR(J13="Kilometer",J13="Mile"),$I13),"")</f>
        <v/>
      </c>
    </row>
    <row r="14" spans="2:105" x14ac:dyDescent="0.25">
      <c r="B14" s="244"/>
      <c r="C14" s="71" t="str" cm="1">
        <f t="array" ref="C14">IFERROR(_xlfn.IFS($D14="Other", D14&amp;"_" &amp;Ref_Other_to,OR($D14="UK", $D14="US"),$D14),"")</f>
        <v/>
      </c>
      <c r="D14" s="71"/>
      <c r="E14" s="71"/>
      <c r="F14" s="71"/>
      <c r="G14" s="72"/>
      <c r="H14" s="72"/>
      <c r="I14" s="73"/>
      <c r="J14" s="73"/>
      <c r="K14" s="73"/>
      <c r="L14" s="73"/>
      <c r="M14" s="74"/>
      <c r="N14" s="75"/>
      <c r="O14" s="71"/>
      <c r="P14" s="165" t="str">
        <f>IFERROR(IF(AND(C14&lt;&gt;"US",G14="Vehicle Distance (e.g. Road Transport)"),(VLOOKUP(H14,'Reference - EF Road'!A162:R179,16, FALSE)),""),"")</f>
        <v/>
      </c>
      <c r="Q14" s="166" t="str">
        <f t="shared" si="46"/>
        <v/>
      </c>
      <c r="R14" s="76" t="str" cm="1">
        <f t="array" aca="1" ref="R14" ca="1">IFERROR(_xlfn.IFS(
AND(AA14&gt;0, OR($G14="Fuel Use",$G14="Custom Fuel")),$N14*$AA14*$AM14*$AN14,
AND(AA14&gt;0,$CZ14="Vehicle Distance (e.g. Road Transport)"),$I14*$AA14*$AM14*$AN14,
AND(AA14&gt;0,$CZ14="Vehicle Distance (e.g. Public or Freight Transport)"),$I14*$AA14*$AM14*$AN14,
AND(AA14&gt;0,$CZ14="Fuel Use and Vehicle Distance"),$N14*$AA14*$AM14*$AN14,
AND(AA14&gt;0,$CZ14="Passenger Distance (e.g. Public Transport)"),$DA14*$AA14*$AM14*$AN14,
AND(AA14&gt;0,$CZ14="Weight Distance (e.g. Freight Transport)"),$DA14*$AA14*$AM14*$AN14),"")</f>
        <v/>
      </c>
      <c r="S14" s="136" t="str" cm="1">
        <f t="array" aca="1" ref="S14" ca="1">IFERROR(_xlfn.IFS(
AND(AG14&gt;-1, $G14="Fuel Use and Vehicle Distance"),$I14*$AG14*$AQ14*$AR14,
AND(AG14&gt;-1, $G14="Vehicle Distance (e.g. Road Transport)"),$I14*$AG14*$AQ14*$AR14,
AND(AG14&gt;-1, $CZ14="Vehicle Distance (e.g. Public or Freight Transport)"),$I14*$AG14*$AQ14*$AR14,
AND(AG14&gt;-1, OR($G14="Fuel Use",$G14="Custom Fuel")), $N14*$AG14*$AQ14*$AR14*1000,
AND(AG14&gt;-1, $G14="Custom Vehicle"),$DA14*$AG14*$AQ14*$AR14*1000,
AND(AG14&gt;-1, AND($G14&lt;&gt;"Custom Vehicle",$CZ14="Weight Distance (e.g. Freight Transport)")),$DA14*$AG14*$AQ14*$AR14*1000,
AND(AG14&gt;-1, AND($G14&lt;&gt;"Custom Vehicle",$CZ14="Passenger Distance (e.g. Public Transport)")), $DA14*$AG14*$AQ14*$AR14*1000),"")</f>
        <v/>
      </c>
      <c r="T14" s="77" t="str" cm="1">
        <f t="array" aca="1" ref="T14" ca="1">IFERROR(_xlfn.IFS(
AND(AJ14&gt;0,$G14="Fuel Use and Vehicle Distance"),$I14*$AJ14*$AS14*$AT14,
AND(AJ14&gt;0,$G14="Vehicle Distance (e.g. Road Transport)"),$I14*$AJ14*$AS14*$AT14,
AND(AJ14&gt;0,$G14="Vehicle Distance (e.g. Public or Freight Transport)"),$I14*$AJ14*$AS14*$AT14,
AND(AJ14&gt;0,OR($G14="Fuel Use",$G14="Custom Fuel")), $N14*$AJ14*$AS14*$AT14*1000,
AND(AJ14&gt;0,$G14="Custom Vehicle"),$DA14*$AJ14*$AS14*$AT14*1000,
AND(AJ14&gt;0,AND($G14&lt;&gt;"Custom Vehicle",$CZ14="Weight Distance (e.g. Freight Transport)")),$DA14*$AJ14*$AS14*$AT14*1000,
AND(AJ14&gt;0,AND($G14&lt;&gt;"Custom Vehicle",$CZ14="Passenger Distance (e.g. Public Transport)")), $DA14*$AJ14*$AS14*$AT14*1000),"")</f>
        <v/>
      </c>
      <c r="U14" s="78" t="str">
        <f t="shared" ca="1" si="47"/>
        <v/>
      </c>
      <c r="V14" s="161" t="str" cm="1">
        <f t="array" aca="1" ref="V14" ca="1">IFERROR(_xlfn.IFS(
AND(AD14&gt;0,OR($CZ14="Fuel Use",$CZ14="Custom Fuel",$CZ14="Fuel Use and Vehicle Distance")),($N14*$AD14*$AO14*$AP14),
AND(AD14&gt;0,$G14="Custom Vehicle"),$DA14*$AD14*$AO14*$AP14,
AND(AD14&gt;0,$CZ14="Vehicle Distance (e.g. Public or Freight Transport)"),$I14*$AD14*$AM14*$AN14,
AND(AD14&gt;0,$CZ14="Weight Distance (e.g. Freight Transport)"),($I14*$K14*$AD14*$AO14*$AP14),
AND(AD14&gt;0,$CZ14="Passenger Distance (e.g. Public Transport)"),$I14*$L14*$AD14*$AO14*$AP14,
AND(AD14&gt;0,$CZ14="Vehicle Distance (e.g. Road Transport)"),($I14*$AD14*$AO14*$AP14)),"")</f>
        <v/>
      </c>
      <c r="W14" s="164" t="str" cm="1">
        <f t="array" aca="1" ref="W14" ca="1">IFERROR(_xlfn.IFS(AND(ISNUMBER(R14),AA14=0),AA14&amp;" "&amp;"("&amp;AB14&amp;" CO2/"&amp;AC14&amp;")",AND(ISNUMBER(R14),AA14&gt;0),ROUND(AA14,INT(3-LOG(AA14)))&amp;" "&amp;"("&amp;AB14&amp;" CO2/"&amp;AC14&amp;")"),"")</f>
        <v/>
      </c>
      <c r="X14" s="164" t="str" cm="1">
        <f t="array" aca="1" ref="X14" ca="1">IFERROR(_xlfn.IFS(AND(ISNUMBER(S14), AG14=0),AG14&amp;" "&amp;"("&amp;AH14&amp;" CH4/"&amp;AI14&amp;")",AND(ISNUMBER(S14), AG14&gt;0),ROUND(AG14,INT(3-LOG(AG14)))&amp;" "&amp;"("&amp;AH14&amp;" CH4/"&amp;AI14&amp;")"),"")</f>
        <v/>
      </c>
      <c r="Y14" s="164" t="str" cm="1">
        <f t="array" aca="1" ref="Y14" ca="1">IFERROR(_xlfn.IFS(AND(ISNUMBER(T14), AJ14=0),AJ14&amp;" "&amp;"("&amp;AK14&amp;" CH4/"&amp;AL14&amp;")",AND(ISNUMBER(T14), AJ14&gt;0),ROUND(AJ14,INT(3-LOG(AJ14)))&amp;" "&amp;"("&amp;AK14&amp;" N2O/"&amp;AL14&amp;")"),"")</f>
        <v/>
      </c>
      <c r="Z14" s="245" t="str" cm="1">
        <f t="array" aca="1" ref="Z14" ca="1">IFERROR(_xlfn.IFS(AND(ISNUMBER(V14),AD14=0),AD14&amp;" "&amp;"("&amp;AE14&amp;" CO2/"&amp;AF14&amp;")",AND(ISNUMBER(V14),AD14&gt;0),ROUND(AD14,INT(3-LOG(AD14)))&amp;" "&amp;"("&amp;AE14&amp;" CO2/"&amp;AF14&amp;")"),"")</f>
        <v/>
      </c>
      <c r="AA14" s="240" t="str" cm="1">
        <f t="array" aca="1" ref="AA14" ca="1">IFERROR(_xlfn.IFS(
OR($G14="Fuel Use",$G14="Fuel Use and Vehicle Distance"),VLOOKUP($M14,INDIRECT("Ref_EF_ByFuel"&amp;"_"&amp;$C14),3,0),
$G14="Vehicle Distance (e.g. Road Transport)",VLOOKUP($H14,INDIRECT("Ref_EF_Vehicle_Distance"&amp;"_"&amp;$C14),3,0),
$G14="Vehicle Distance (e.g. Public or Freight Transport)",VLOOKUP($H14,INDIRECT("Ref_EF_Vehicle_Distance_S3"&amp;"_"&amp;$C14),3,0),
$G14="Custom Vehicle",VLOOKUP($H14,Tbl_vehical_Settings,2,0),
$G14="Custom Fuel",VLOOKUP($M14,Tbl_Fuel_Settings,2,0),
$G14="Weight Distance (e.g. Freight Transport)",VLOOKUP($H14,INDIRECT("Ref_EF_Weight_Distance"&amp;"_"&amp;$C14),3,0),
$G14="Passenger Distance (e.g. Public Transport)",VLOOKUP($H14,INDIRECT("Ref_EF_Public_Transport"&amp;"_"&amp;$C14),3,0)),"")</f>
        <v/>
      </c>
      <c r="AB14" s="31" t="str" cm="1">
        <f t="array" aca="1" ref="AB14" ca="1">IFERROR(_xlfn.IFS(
OR($G14="Fuel Use",$G14="Fuel Use and Vehicle Distance"),VLOOKUP($M14,INDIRECT("Ref_EF_ByFuel"&amp;"_"&amp;$C14),5,0),
$G14="Vehicle Distance (e.g. Road Transport)",VLOOKUP($H14,INDIRECT("Ref_EF_Vehicle_Distance"&amp;"_"&amp;$C14),5,0),
$G14="Vehicle Distance (e.g. Public or Freight Transport)",VLOOKUP($H14,INDIRECT("Ref_EF_Vehicle_Distance_S3"&amp;"_"&amp;$C14),5,0),
$G14="Custom Vehicle",VLOOKUP($H14,Tbl_vehical_Settings,6,0),
$G14="Custom Fuel",VLOOKUP($M14,Tbl_Fuel_Settings,6,0),
$G14="Weight Distance (e.g. Freight Transport)",VLOOKUP($H14,INDIRECT("Ref_EF_Weight_Distance"&amp;"_"&amp;$C14),5,0),
$G14="Passenger Distance (e.g. Public Transport)",VLOOKUP($H14,INDIRECT("Ref_EF_Public_Transport"&amp;"_"&amp;$C14),5,0)),"")</f>
        <v/>
      </c>
      <c r="AC14" s="31" t="str" cm="1">
        <f t="array" aca="1" ref="AC14" ca="1">IFERROR(_xlfn.IFS(
OR($G14="Fuel Use",$G14="Fuel Use and Vehicle Distance"),VLOOKUP($M14,INDIRECT("Ref_EF_ByFuel"&amp;"_"&amp;$C14),6,0),
$G14="Vehicle Distance (e.g. Road Transport)",VLOOKUP($H14,INDIRECT("Ref_EF_Vehicle_Distance"&amp;"_"&amp;$C14),6,0),
$G14="Vehicle Distance (e.g. Public or Freight Transport)",VLOOKUP($H14,INDIRECT("Ref_EF_Vehicle_Distance_S3"&amp;"_"&amp;$C14),6,0),
$G14="Custom Vehicle",VLOOKUP($H14,Tbl_vehical_Settings,7,0),
$G14="Custom Fuel",VLOOKUP($M14,Tbl_Fuel_Settings,7,0),
$G14="Weight Distance (e.g. Freight Transport)",VLOOKUP($H14,INDIRECT("Ref_EF_Weight_Distance"&amp;"_"&amp;$C14),6,0),
$G14="Passenger Distance (e.g. Public Transport)",VLOOKUP($H14,INDIRECT("Ref_EF_Public_Transport"&amp;"_"&amp;$C14),6,0)),"")</f>
        <v/>
      </c>
      <c r="AD14" s="31" t="str" cm="1">
        <f t="array" aca="1" ref="AD14" ca="1">IFERROR(_xlfn.IFS(
OR($G14="Fuel Use",$G14="Fuel Use and Vehicle Distance"),VLOOKUP($M14,INDIRECT("Ref_EF_ByFuel"&amp;"_"&amp;$C14),4,0),
$G14="Vehicle Distance (e.g. Road Transport)",VLOOKUP($H14,INDIRECT("Ref_EF_Vehicle_Distance"&amp;"_"&amp;$C14),4,0),
$G14="Vehicle Distance (e.g. Public or Freight Transport)",VLOOKUP($H14,INDIRECT("Ref_EF_Vehicle_Distance_S3"&amp;"_"&amp;$C14),4,0),
$G14="Custom Vehicle",VLOOKUP($H14,Tbl_vehical_Settings,5,0),
$G14="Custom Fuel",VLOOKUP($M14,Tbl_Fuel_Settings,5,0),
$G14="Weight Distance (e.g. Freight Transport)",VLOOKUP($H14,INDIRECT("Ref_EF_Weight_Distance"&amp;"_"&amp;$C14),4,0),
$G14="Passenger Distance (e.g. Public Transport)",VLOOKUP($H14,INDIRECT("Ref_EF_Public_Transport"&amp;"_"&amp;$C14),4,0)),"")</f>
        <v/>
      </c>
      <c r="AE14" s="31" t="str" cm="1">
        <f t="array" aca="1" ref="AE14" ca="1">IFERROR(_xlfn.IFS(
OR($G14="Fuel Use",$G14="Fuel Use and Vehicle Distance"),VLOOKUP($M14,INDIRECT("Ref_EF_ByFuel"&amp;"_"&amp;$C14),5,0),
$G14="Vehicle Distance (e.g. Road Transport)",VLOOKUP($H14,INDIRECT("Ref_EF_Vehicle_Distance"&amp;"_"&amp;$C14),5,0),
$G14="Vehicle Distance (e.g. Public or Freight Transport)",VLOOKUP($H14,INDIRECT("Ref_EF_Vehicle_Distance_S3"&amp;"_"&amp;$C14),5,0),
$G14="Custom Vehicle",VLOOKUP($H14,Tbl_vehical_Settings,6,0),
$G14="Custom Fuel",VLOOKUP($M14,Tbl_Fuel_Settings,6,0),
$G14="Weight Distance (e.g. Freight Transport)",VLOOKUP($H14,INDIRECT("Ref_EF_Weight_Distance"&amp;"_"&amp;$C14),5,0),
$G14="Passenger Distance (e.g. Public Transport)",VLOOKUP($H14,INDIRECT("Ref_EF_Public_Transport"&amp;"_"&amp;$C14),5,0)),"")</f>
        <v/>
      </c>
      <c r="AF14" s="31" t="str" cm="1">
        <f t="array" aca="1" ref="AF14" ca="1">IFERROR(_xlfn.IFS(
OR($G14="Fuel Use",$G14="Fuel Use and Vehicle Distance"),VLOOKUP($M14,INDIRECT("Ref_EF_ByFuel"&amp;"_"&amp;$C14),6,0),
$G14="Vehicle Distance (e.g. Road Transport)",VLOOKUP($H14,INDIRECT("Ref_EF_Vehicle_Distance"&amp;"_"&amp;$C14),6,0),
$G14="Vehicle Distance (e.g. Public or Freight Transport)",VLOOKUP($H14,INDIRECT("Ref_EF_Vehicle_Distance_S3"&amp;"_"&amp;$C14),6,0),
$G14="Custom Vehicle",VLOOKUP($H14,Tbl_vehical_Settings,7,0),
$G14="Custom Fuel",VLOOKUP($M14,Tbl_Fuel_Settings,7,0),
$G14="Weight Distance (e.g. Freight Transport)",VLOOKUP($H14,INDIRECT("Ref_EF_Weight_Distance"&amp;"_"&amp;$C14),6,0),
$G14="Passenger Distance (e.g. Public Transport)",VLOOKUP($H14,INDIRECT("Ref_EF_Public_Transport"&amp;"_"&amp;$C14),6,0)),"")</f>
        <v/>
      </c>
      <c r="AG14" s="31" t="str" cm="1">
        <f t="array" aca="1" ref="AG14" ca="1">IFERROR(_xlfn.IFS(
AND($G14="Fuel Use",$E14&lt;&gt;"Road"),VLOOKUP($H14,INDIRECT("Ref_EF_ByFuel_CH4"&amp;"_"&amp;$C14),3,0),
$G14="Vehicle Distance (e.g. Road Transport)",VLOOKUP($H14,INDIRECT("Ref_EF_Vehicle_Distance"&amp;"_"&amp;$C14),7,0),
$G14="Vehicle Distance (e.g. Public or Freight Transport)",VLOOKUP($H14,INDIRECT("Ref_EF_Vehicle_Distance_S3"&amp;"_"&amp;$C14),7,0),
$G14="Fuel Use and Vehicle Distance",VLOOKUP($H14,INDIRECT("Ref_EF_Fuel_Vehicle_Distance"&amp;"_"&amp;$C14),3,0),
$G14="Custom Vehicle",VLOOKUP($H14,Tbl_vehical_Settings,3,0),
$G14="Custom Fuel",VLOOKUP($M14,Tbl_Fuel_Settings,3,0),
$G14="Weight Distance (e.g. Freight Transport)",VLOOKUP($H14,INDIRECT("Ref_EF_Weight_Distance_CH4"&amp;"_"&amp;$C14),3,0),
$G14="Passenger Distance (e.g. Public Transport)",VLOOKUP($H14,INDIRECT("Ref_EF_Public_Transport_CH4"&amp;"_"&amp;$C14),7,0)),"")</f>
        <v/>
      </c>
      <c r="AH14" s="31" t="str" cm="1">
        <f t="array" aca="1" ref="AH14" ca="1">IFERROR(_xlfn.IFS(
AND($G14="Fuel Use",$E14&lt;&gt;"Road"),VLOOKUP($H14,INDIRECT("Ref_EF_ByFuel_CH4"&amp;"_"&amp;$C14),4,0),
$G14="Vehicle Distance (e.g. Road Transport)",VLOOKUP($H14,INDIRECT("Ref_EF_Vehicle_Distance"&amp;"_"&amp;$C14),8,0),
$G14="Vehicle Distance (e.g. Public or Freight Transport)",VLOOKUP($H14,INDIRECT("Ref_EF_Vehicle_Distance_S3"&amp;"_"&amp;$C14),8,0),
$G14="Fuel Use and Vehicle Distance",VLOOKUP($H14,INDIRECT("Ref_EF_Fuel_Vehicle_Distance"&amp;"_"&amp;$C14),4,0),
$G14="Custom Vehicle",VLOOKUP($H14,Tbl_vehical_Settings,6,0),
$G14="Custom Fuel",VLOOKUP($M14,Tbl_Fuel_Settings,6,0),
$G14="Weight Distance (e.g. Freight Transport)",VLOOKUP($H14,INDIRECT("Ref_EF_Weight_Distance_CH4"&amp;"_"&amp;$C14),4,0),
$G14="Passenger Distance (e.g. Public Transport)",VLOOKUP($H14,INDIRECT("Ref_EF_Public_Transport_CH4"&amp;"_"&amp;$C14),8,0)),"")</f>
        <v/>
      </c>
      <c r="AI14" s="31" t="str" cm="1">
        <f t="array" aca="1" ref="AI14" ca="1">IFERROR(_xlfn.IFS(
AND($G14="Fuel Use",$E14&lt;&gt;"Road"),VLOOKUP($H14,INDIRECT("Ref_EF_ByFuel_CH4"&amp;"_"&amp;$C14),5,0),
$G14="Vehicle Distance (e.g. Road Transport)",VLOOKUP($H14,INDIRECT("Ref_EF_Vehicle_Distance"&amp;"_"&amp;$C14),9,0),
$G14="Vehicle Distance (e.g. Public or Freight Transport)",VLOOKUP($H14,INDIRECT("Ref_EF_Vehicle_Distance_S3"&amp;"_"&amp;$C14),9,0),
$G14="Fuel Use and Vehicle Distance",VLOOKUP($H14,INDIRECT("Ref_EF_Fuel_Vehicle_Distance"&amp;"_"&amp;$C14),5,0),
$G14="Custom Vehicle",VLOOKUP($H14,Tbl_vehical_Settings,7,0),
$G14="Custom Fuel",VLOOKUP($M14,Tbl_Fuel_Settings,7,0),
$G14="Weight Distance (e.g. Freight Transport)",VLOOKUP($H14,INDIRECT("Ref_EF_Weight_Distance_CH4"&amp;"_"&amp;$C14),5,0),
$G14="Passenger Distance (e.g. Public Transport)",VLOOKUP($H14,INDIRECT("Ref_EF_Public_Transport_CH4"&amp;"_"&amp;$C14),9,0)),"")</f>
        <v/>
      </c>
      <c r="AJ14" s="31" t="str" cm="1">
        <f t="array" aca="1" ref="AJ14" ca="1">IFERROR(_xlfn.IFS(
AND($G14="Fuel Use",$E14&lt;&gt;"Road"),VLOOKUP($H14,INDIRECT("Ref_EF_ByFuel_CH4"&amp;"_"&amp;$C14),6,0),
$G14="Vehicle Distance (e.g. Road Transport)",VLOOKUP($H14,INDIRECT("Ref_EF_Vehicle_Distance"&amp;"_"&amp;$C14),10,0),
$G14="Vehicle Distance (e.g. Public or Freight Transport)",VLOOKUP($H14,INDIRECT("Ref_EF_Vehicle_Distance_S3"&amp;"_"&amp;$C14),10,0),
$G14="Fuel Use and Vehicle Distance",VLOOKUP($H14,INDIRECT("Ref_EF_Fuel_Vehicle_Distance"&amp;"_"&amp;$C14),6,0),
$G14="Custom Vehicle",VLOOKUP($H14,Tbl_vehical_Settings,4,0),
$G14="Custom Fuel",VLOOKUP($M14,Tbl_Fuel_Settings,4,0),
$G14="Weight Distance (e.g. Freight Transport)",VLOOKUP($H14,INDIRECT("Ref_EF_Weight_Distance_CH4"&amp;"_"&amp;$C14),6,0),
$G14="Passenger Distance (e.g. Public Transport)",VLOOKUP($H14,INDIRECT("Ref_EF_Public_Transport_CH4"&amp;"_"&amp;$C14),10,0)),"")</f>
        <v/>
      </c>
      <c r="AK14" s="31" t="str" cm="1">
        <f t="array" aca="1" ref="AK14" ca="1">IFERROR(_xlfn.IFS(
AND($G14="Fuel Use",$E14&lt;&gt;"Road"),VLOOKUP($H14,INDIRECT("Ref_EF_ByFuel_CH4"&amp;"_"&amp;$C14),7,0),
$G14="Vehicle Distance (e.g. Road Transport)",VLOOKUP($H14,INDIRECT("Ref_EF_Vehicle_Distance"&amp;"_"&amp;$C14),11,0),
$G14="Vehicle Distance (e.g. Public or Freight Transport)",VLOOKUP($H14,INDIRECT("Ref_EF_Vehicle_Distance_S3"&amp;"_"&amp;$C14),11,0),
$G14="Fuel Use and Vehicle Distance",VLOOKUP($H14,INDIRECT("Ref_EF_Fuel_Vehicle_Distance"&amp;"_"&amp;$C14),7,0),
$G14="Custom Vehicle",VLOOKUP($H14,Tbl_vehical_Settings,6,0),
$G14="Custom Fuel",VLOOKUP($M14,Tbl_Fuel_Settings,6,0),
$G14="Weight Distance (e.g. Freight Transport)",VLOOKUP($H14,INDIRECT("Ref_EF_Weight_Distance_CH4"&amp;"_"&amp;$C14),7,0),
$G14="Passenger Distance (e.g. Public Transport)",VLOOKUP($H14,INDIRECT("Ref_EF_Public_Transport_CH4"&amp;"_"&amp;$C14),11,0)),"")</f>
        <v/>
      </c>
      <c r="AL14" s="31" t="str" cm="1">
        <f t="array" aca="1" ref="AL14" ca="1">IFERROR(_xlfn.IFS(
AND($G14="Fuel Use",$E14&lt;&gt;"Road"),VLOOKUP($H14,INDIRECT("Ref_EF_ByFuel_CH4"&amp;"_"&amp;$C14),8,0),
$G14="Vehicle Distance (e.g. Road Transport)",VLOOKUP($H14,INDIRECT("Ref_EF_Vehicle_Distance"&amp;"_"&amp;$C14),12,0),
$G14="Vehicle Distance (e.g. Public or Freight Transport)",VLOOKUP($H14,INDIRECT("Ref_EF_Vehicle_Distance_S3"&amp;"_"&amp;$C14),12,0),
$G14="Fuel Use and Vehicle Distance",VLOOKUP($H14,INDIRECT("Ref_EF_Fuel_Vehicle_Distance"&amp;"_"&amp;$C14),8,0),
$G14="Custom Vehicle",VLOOKUP($H14,Tbl_vehical_Settings,7,0),
$G14="Custom Fuel",VLOOKUP($M14,Tbl_Fuel_Settings,7,0),
$G14="Weight Distance (e.g. Freight Transport)",VLOOKUP($H14,INDIRECT("Ref_EF_Weight_Distance_CH4"&amp;"_"&amp;$C14),8,0),
$G14="Passenger Distance (e.g. Public Transport)",VLOOKUP($H14,INDIRECT("Ref_EF_Public_Transport_CH4"&amp;"_"&amp;$C14),12,0)),"")</f>
        <v/>
      </c>
      <c r="AM14" s="31" t="e">
        <f ca="1">INDEX(Ref_Master_Unit_Table,MATCH($AB14,REF_To_Unit,0),MATCH('Reference - Lookup and Unit'!$A$11,Ref_From_Units,0))</f>
        <v>#N/A</v>
      </c>
      <c r="AN14" s="31" t="e">
        <f t="shared" ca="1" si="0"/>
        <v>#N/A</v>
      </c>
      <c r="AO14" s="31" t="e">
        <f ca="1">INDEX(Ref_Master_Unit_Table,MATCH($AE14,REF_To_Unit,0),MATCH('Reference - Lookup and Unit'!$A$11,Ref_From_Units,0))</f>
        <v>#N/A</v>
      </c>
      <c r="AP14" s="31" t="e">
        <f t="shared" ca="1" si="1"/>
        <v>#N/A</v>
      </c>
      <c r="AQ14" s="31" t="e">
        <f ca="1">INDEX(Ref_Master_Unit_Table,MATCH($AH14,REF_To_Unit,0),MATCH('Reference - Lookup and Unit'!$A$11,Ref_From_Units,0))</f>
        <v>#N/A</v>
      </c>
      <c r="AR14" s="31" t="e">
        <f t="shared" ca="1" si="2"/>
        <v>#N/A</v>
      </c>
      <c r="AS14" s="31" t="e">
        <f ca="1">INDEX(Ref_Master_Unit_Table,MATCH($AK14,REF_To_Unit,0),MATCH('Reference - Lookup and Unit'!$A$11,Ref_From_Units,0))</f>
        <v>#N/A</v>
      </c>
      <c r="AT14" s="31" t="e">
        <f t="shared" ca="1" si="3"/>
        <v>#N/A</v>
      </c>
      <c r="AU14" s="31" t="e" cm="1">
        <f t="array" aca="1" ref="AU14"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14" s="31">
        <f t="shared" ca="1" si="48"/>
        <v>27.9</v>
      </c>
      <c r="AW14" s="31">
        <f t="shared" ca="1" si="49"/>
        <v>273</v>
      </c>
      <c r="AX14" s="31" t="e" cm="1">
        <f t="array" aca="1" ref="AX14"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14" s="25" t="e" cm="1">
        <f t="array" ref="AY14">_xlfn.IFS(
AND($E14&lt;&gt;"",$G14="Custom Fuel"),("Settings_Custom_Fuels"),
AND($E14&lt;&gt;"",$G14="Custom vehicle"),("Settings_Custom_Vehicle"),
AND($E14&lt;&gt;"",$G14="Fuel Use"),("Ref_DD_vehicle_FuelUse"&amp;"_"&amp;C14&amp;"_"&amp;E14),
AND($E14&lt;&gt;"",$G14="Fuel Use and Vehicle Distance"),("Ref_DD_Fuel_VehicleDistance"&amp;"_"&amp;C14&amp;"_"&amp;E14),
AND($E14&lt;&gt;"",$G14="Vehicle Distance (e.g. Road Transport)"),("Ref_DD_vehicle_VehicleDistance"&amp;"_"&amp;C14&amp;"_"&amp;E14),
AND($E14&lt;&gt;"",$G14="Weight Distance (e.g. Freight Transport)"),("Ref_DD_vehicle_WeightDistance"&amp;"_"&amp;C14&amp;"_"&amp;E14),
AND($E14&lt;&gt;"",$G14="Vehicle Distance (e.g. Public or Freight Transport)"),("Ref_DD_vehicle_DistanceS3"&amp;"_"&amp;C14),
AND($E14&lt;&gt;"",$G14="Passenger Distance (e.g. Public Transport)"),("Ref_DD_vehicle_Passenger"&amp;"_"&amp;C14&amp;"_"&amp;E14),
AND($E14="",$G14="Fuel Use"),("Ref_DD_vehicle_FuelUse"&amp;"_"&amp;C14),
AND($E14="",OR($G14="Vehicle Distance (e.g. Road Transport)",$G14="Fuel Use and Vehicle Distance")),("Ref_DD_vehicle_VehicleDistance"&amp;"_"&amp;C14),
AND($E14="",$G14="Weight Distance (e.g. Freight Transport)"),("Ref_DD_vehicle_WeightDistance"&amp;"_"&amp;C14),
AND($E14="",$G14="Vehicle Distance (e.g. Public or Freight Transport)"),("Ref_DD_vehicle_DistanceS3"&amp;"_"&amp;C14),
AND($E14="",$G14="Passenger Distance (e.g. Public Transport)"),("Ref_DD_vehicle_Passenger"&amp;"_"&amp;C14))</f>
        <v>#N/A</v>
      </c>
      <c r="AZ14" s="25" t="b">
        <f t="shared" ca="1" si="4"/>
        <v>0</v>
      </c>
      <c r="BA14" s="25" t="str">
        <f t="shared" si="5"/>
        <v/>
      </c>
      <c r="BB14" s="25" t="str">
        <f t="shared" si="6"/>
        <v/>
      </c>
      <c r="BC14" s="25" t="str">
        <f t="shared" si="50"/>
        <v/>
      </c>
      <c r="BD14" s="25" t="str">
        <f t="shared" si="51"/>
        <v/>
      </c>
      <c r="BE14" s="25" t="str">
        <f t="shared" si="52"/>
        <v/>
      </c>
      <c r="BF14" s="25" t="str">
        <f t="shared" si="53"/>
        <v/>
      </c>
      <c r="BG14" s="25" t="str">
        <f t="shared" si="7"/>
        <v/>
      </c>
      <c r="BH14" s="25" t="str">
        <f t="shared" si="8"/>
        <v/>
      </c>
      <c r="BI14" s="25" t="str">
        <f t="shared" si="54"/>
        <v/>
      </c>
      <c r="BJ14" s="25" t="str">
        <f t="shared" si="55"/>
        <v/>
      </c>
      <c r="BK14" s="25" t="str">
        <f t="shared" si="56"/>
        <v/>
      </c>
      <c r="BL14" s="25" t="str">
        <f t="shared" si="57"/>
        <v/>
      </c>
      <c r="BM14" s="25" t="str">
        <f t="shared" si="9"/>
        <v/>
      </c>
      <c r="BN14" s="25" t="str">
        <f t="shared" ca="1" si="10"/>
        <v/>
      </c>
      <c r="BO14" s="25" t="str">
        <f t="shared" si="11"/>
        <v/>
      </c>
      <c r="BP14" s="25" t="str">
        <f t="shared" si="12"/>
        <v/>
      </c>
      <c r="BQ14" s="25" t="str">
        <f t="shared" si="13"/>
        <v/>
      </c>
      <c r="BR14" s="25" t="str">
        <f t="shared" si="14"/>
        <v/>
      </c>
      <c r="BS14" s="25" t="str">
        <f t="shared" si="15"/>
        <v/>
      </c>
      <c r="BT14" s="25" t="str">
        <f t="shared" si="16"/>
        <v/>
      </c>
      <c r="BU14" s="25" t="str">
        <f t="shared" si="17"/>
        <v/>
      </c>
      <c r="BV14" s="25" t="str">
        <f t="shared" si="18"/>
        <v/>
      </c>
      <c r="BW14" s="25" t="str">
        <f t="shared" si="19"/>
        <v/>
      </c>
      <c r="BX14" s="25" t="str">
        <f t="shared" si="20"/>
        <v/>
      </c>
      <c r="BY14" s="25" t="str">
        <f t="shared" si="21"/>
        <v/>
      </c>
      <c r="BZ14" s="25" t="str">
        <f t="shared" si="22"/>
        <v/>
      </c>
      <c r="CA14" s="25" t="str">
        <f t="shared" si="23"/>
        <v/>
      </c>
      <c r="CB14" s="25" t="str">
        <f t="shared" si="24"/>
        <v/>
      </c>
      <c r="CC14" s="25" t="str">
        <f t="shared" si="25"/>
        <v/>
      </c>
      <c r="CD14" s="25" t="str">
        <f t="shared" si="26"/>
        <v/>
      </c>
      <c r="CE14" s="25" t="str">
        <f t="shared" si="27"/>
        <v/>
      </c>
      <c r="CF14" s="25" t="str">
        <f t="shared" si="28"/>
        <v/>
      </c>
      <c r="CG14" s="25" t="str">
        <f t="shared" si="29"/>
        <v/>
      </c>
      <c r="CH14" s="25" t="str">
        <f t="shared" si="30"/>
        <v/>
      </c>
      <c r="CI14" s="25" t="str">
        <f t="shared" si="31"/>
        <v/>
      </c>
      <c r="CJ14" s="25" t="str">
        <f t="shared" si="32"/>
        <v/>
      </c>
      <c r="CK14" s="25" t="str">
        <f t="shared" si="33"/>
        <v/>
      </c>
      <c r="CL14" s="25" t="str">
        <f t="shared" si="34"/>
        <v/>
      </c>
      <c r="CM14" s="25" t="str">
        <f t="shared" si="35"/>
        <v/>
      </c>
      <c r="CN14" s="25" t="str">
        <f t="shared" si="36"/>
        <v/>
      </c>
      <c r="CO14" s="25" t="str">
        <f t="shared" si="37"/>
        <v/>
      </c>
      <c r="CP14" s="25" t="str">
        <f t="shared" si="38"/>
        <v/>
      </c>
      <c r="CQ14" s="25" t="str">
        <f t="shared" si="39"/>
        <v/>
      </c>
      <c r="CR14" s="25" t="str">
        <f t="shared" si="40"/>
        <v/>
      </c>
      <c r="CS14" s="25" t="str">
        <f t="shared" si="41"/>
        <v/>
      </c>
      <c r="CT14" s="25" t="str">
        <f t="shared" si="42"/>
        <v/>
      </c>
      <c r="CU14" s="25" t="str">
        <f t="shared" si="43"/>
        <v/>
      </c>
      <c r="CV14" s="25" t="str">
        <f t="shared" si="44"/>
        <v/>
      </c>
      <c r="CW14" s="25" t="str">
        <f t="shared" si="45"/>
        <v/>
      </c>
      <c r="CX14" s="25" t="str" cm="1">
        <f t="array" ref="CX14">_xlfn.IFNA(_xlfn.IFS(
$G14="Weight Distance (e.g. Freight Transport)","Ref_DD_WeightDistanceUnits",
$G14="Passenger Distance (e.g. Public Transport)","Ref_DD_PasengerDistanceUnits",
$G14="Vehicle Distance (e.g. Road Transport)", "Ref_DD_DistanceUnit",
$G14="Vehicle Distance (e.g. Public or Freight Transport)","Ref_DD_DistanceUnit",
$G14="Fuel Use and Vehicle Distance", "Ref_DD_DistanceUnit",
$G14="Custom Vehicle",VLOOKUP($H14,'2. Settings'!$B$39:$I$54,8,FALSE)),"")</f>
        <v/>
      </c>
      <c r="CY14" s="27" t="str">
        <f ca="1">IF(AND(ISERROR(#REF!*$AU14)=TRUE,ISERROR((S14/1000)*$AV14)=TRUE,ISERROR((T14/1000)*$AW14)=FALSE),((T14/1000)*$AW14),"")</f>
        <v/>
      </c>
      <c r="CZ14" s="27" cm="1">
        <f t="array" ref="CZ14">IFERROR(_xlfn.IFS(
AND($G14="Custom vehicle",OR($J14="Passenger Mile",$J14="Passenger Kilometer")),"Passenger Distance (e.g. Public Transport)",
AND($G14="Custom vehicle",OR($J14="Tonne Mile",$J14="Tonne Kilometer",$J14="Short Ton Kilometer",$J14="Short Ton Mile")),"Weight Distance (e.g. Freight Transport)",
AND($G14="Custom vehicle",OR($J14="Mile",$J14="Kilometer")),"Vehicle Distance (e.g. Road Transport)",
$G14&lt;&gt;"Custom vehicle",$G14),"")</f>
        <v>0</v>
      </c>
      <c r="DA14" s="27" t="str" cm="1">
        <f t="array" ref="DA14">IFERROR(_xlfn.IFS(OR(J14="Tonne Kilometer",J14="Tonne Mile",J14="Short Ton Mile",J14="Short Ton Kilometer"),I14*K14,OR(J14="Passenger Kilometer",J14="Passenger Mile"),I14*L14,OR(J14="Kilometer",J14="Mile"),$I14),"")</f>
        <v/>
      </c>
    </row>
    <row r="15" spans="2:105" x14ac:dyDescent="0.25">
      <c r="B15" s="244"/>
      <c r="C15" s="71" t="str" cm="1">
        <f t="array" ref="C15">IFERROR(_xlfn.IFS($D15="Other", D15&amp;"_" &amp;Ref_Other_to,OR($D15="UK", $D15="US"),$D15),"")</f>
        <v/>
      </c>
      <c r="D15" s="71"/>
      <c r="E15" s="71"/>
      <c r="F15" s="71"/>
      <c r="G15" s="72"/>
      <c r="H15" s="72"/>
      <c r="I15" s="73"/>
      <c r="J15" s="73"/>
      <c r="K15" s="73"/>
      <c r="L15" s="73"/>
      <c r="M15" s="74"/>
      <c r="N15" s="75"/>
      <c r="O15" s="71"/>
      <c r="P15" s="165" t="str">
        <f>IFERROR(IF(AND(C15&lt;&gt;"US",G15="Vehicle Distance (e.g. Road Transport)"),(VLOOKUP(H15,'Reference - EF Road'!A162:R180,16, FALSE)),""),"")</f>
        <v/>
      </c>
      <c r="Q15" s="166" t="str">
        <f t="shared" si="46"/>
        <v/>
      </c>
      <c r="R15" s="76" t="str" cm="1">
        <f t="array" aca="1" ref="R15" ca="1">IFERROR(_xlfn.IFS(
AND(AA15&gt;0, OR($G15="Fuel Use",$G15="Custom Fuel")),$N15*$AA15*$AM15*$AN15,
AND(AA15&gt;0,$CZ15="Vehicle Distance (e.g. Road Transport)"),$I15*$AA15*$AM15*$AN15,
AND(AA15&gt;0,$CZ15="Vehicle Distance (e.g. Public or Freight Transport)"),$I15*$AA15*$AM15*$AN15,
AND(AA15&gt;0,$CZ15="Fuel Use and Vehicle Distance"),$N15*$AA15*$AM15*$AN15,
AND(AA15&gt;0,$CZ15="Passenger Distance (e.g. Public Transport)"),$DA15*$AA15*$AM15*$AN15,
AND(AA15&gt;0,$CZ15="Weight Distance (e.g. Freight Transport)"),$DA15*$AA15*$AM15*$AN15),"")</f>
        <v/>
      </c>
      <c r="S15" s="136" t="str" cm="1">
        <f t="array" aca="1" ref="S15" ca="1">IFERROR(_xlfn.IFS(
AND(AG15&gt;-1, $G15="Fuel Use and Vehicle Distance"),$I15*$AG15*$AQ15*$AR15,
AND(AG15&gt;-1, $G15="Vehicle Distance (e.g. Road Transport)"),$I15*$AG15*$AQ15*$AR15,
AND(AG15&gt;-1, $CZ15="Vehicle Distance (e.g. Public or Freight Transport)"),$I15*$AG15*$AQ15*$AR15,
AND(AG15&gt;-1, OR($G15="Fuel Use",$G15="Custom Fuel")), $N15*$AG15*$AQ15*$AR15*1000,
AND(AG15&gt;-1, $G15="Custom Vehicle"),$DA15*$AG15*$AQ15*$AR15*1000,
AND(AG15&gt;-1, AND($G15&lt;&gt;"Custom Vehicle",$CZ15="Weight Distance (e.g. Freight Transport)")),$DA15*$AG15*$AQ15*$AR15*1000,
AND(AG15&gt;-1, AND($G15&lt;&gt;"Custom Vehicle",$CZ15="Passenger Distance (e.g. Public Transport)")), $DA15*$AG15*$AQ15*$AR15*1000),"")</f>
        <v/>
      </c>
      <c r="T15" s="77" t="str" cm="1">
        <f t="array" aca="1" ref="T15" ca="1">IFERROR(_xlfn.IFS(
AND(AJ15&gt;0,$G15="Fuel Use and Vehicle Distance"),$I15*$AJ15*$AS15*$AT15,
AND(AJ15&gt;0,$G15="Vehicle Distance (e.g. Road Transport)"),$I15*$AJ15*$AS15*$AT15,
AND(AJ15&gt;0,$G15="Vehicle Distance (e.g. Public or Freight Transport)"),$I15*$AJ15*$AS15*$AT15,
AND(AJ15&gt;0,OR($G15="Fuel Use",$G15="Custom Fuel")), $N15*$AJ15*$AS15*$AT15*1000,
AND(AJ15&gt;0,$G15="Custom Vehicle"),$DA15*$AJ15*$AS15*$AT15*1000,
AND(AJ15&gt;0,AND($G15&lt;&gt;"Custom Vehicle",$CZ15="Weight Distance (e.g. Freight Transport)")),$DA15*$AJ15*$AS15*$AT15*1000,
AND(AJ15&gt;0,AND($G15&lt;&gt;"Custom Vehicle",$CZ15="Passenger Distance (e.g. Public Transport)")), $DA15*$AJ15*$AS15*$AT15*1000),"")</f>
        <v/>
      </c>
      <c r="U15" s="78" t="str">
        <f t="shared" ca="1" si="47"/>
        <v/>
      </c>
      <c r="V15" s="161" t="str" cm="1">
        <f t="array" aca="1" ref="V15" ca="1">IFERROR(_xlfn.IFS(
AND(AD15&gt;0,OR($CZ15="Fuel Use",$CZ15="Custom Fuel",$CZ15="Fuel Use and Vehicle Distance")),($N15*$AD15*$AO15*$AP15),
AND(AD15&gt;0,$G15="Custom Vehicle"),$DA15*$AD15*$AO15*$AP15,
AND(AD15&gt;0,$CZ15="Vehicle Distance (e.g. Public or Freight Transport)"),$I15*$AD15*$AM15*$AN15,
AND(AD15&gt;0,$CZ15="Weight Distance (e.g. Freight Transport)"),($I15*$K15*$AD15*$AO15*$AP15),
AND(AD15&gt;0,$CZ15="Passenger Distance (e.g. Public Transport)"),$I15*$L15*$AD15*$AO15*$AP15,
AND(AD15&gt;0,$CZ15="Vehicle Distance (e.g. Road Transport)"),($I15*$AD15*$AO15*$AP15)),"")</f>
        <v/>
      </c>
      <c r="W15" s="164" t="str" cm="1">
        <f t="array" aca="1" ref="W15" ca="1">IFERROR(_xlfn.IFS(AND(ISNUMBER(R15),AA15=0),AA15&amp;" "&amp;"("&amp;AB15&amp;" CO2/"&amp;AC15&amp;")",AND(ISNUMBER(R15),AA15&gt;0),ROUND(AA15,INT(3-LOG(AA15)))&amp;" "&amp;"("&amp;AB15&amp;" CO2/"&amp;AC15&amp;")"),"")</f>
        <v/>
      </c>
      <c r="X15" s="164" t="str" cm="1">
        <f t="array" aca="1" ref="X15" ca="1">IFERROR(_xlfn.IFS(AND(ISNUMBER(S15), AG15=0),AG15&amp;" "&amp;"("&amp;AH15&amp;" CH4/"&amp;AI15&amp;")",AND(ISNUMBER(S15), AG15&gt;0),ROUND(AG15,INT(3-LOG(AG15)))&amp;" "&amp;"("&amp;AH15&amp;" CH4/"&amp;AI15&amp;")"),"")</f>
        <v/>
      </c>
      <c r="Y15" s="164" t="str" cm="1">
        <f t="array" aca="1" ref="Y15" ca="1">IFERROR(_xlfn.IFS(AND(ISNUMBER(T15), AJ15=0),AJ15&amp;" "&amp;"("&amp;AK15&amp;" CH4/"&amp;AL15&amp;")",AND(ISNUMBER(T15), AJ15&gt;0),ROUND(AJ15,INT(3-LOG(AJ15)))&amp;" "&amp;"("&amp;AK15&amp;" N2O/"&amp;AL15&amp;")"),"")</f>
        <v/>
      </c>
      <c r="Z15" s="245" t="str" cm="1">
        <f t="array" aca="1" ref="Z15" ca="1">IFERROR(_xlfn.IFS(AND(ISNUMBER(V15),AD15=0),AD15&amp;" "&amp;"("&amp;AE15&amp;" CO2/"&amp;AF15&amp;")",AND(ISNUMBER(V15),AD15&gt;0),ROUND(AD15,INT(3-LOG(AD15)))&amp;" "&amp;"("&amp;AE15&amp;" CO2/"&amp;AF15&amp;")"),"")</f>
        <v/>
      </c>
      <c r="AA15" s="240" t="str" cm="1">
        <f t="array" aca="1" ref="AA15" ca="1">IFERROR(_xlfn.IFS(
OR($G15="Fuel Use",$G15="Fuel Use and Vehicle Distance"),VLOOKUP($M15,INDIRECT("Ref_EF_ByFuel"&amp;"_"&amp;$C15),3,0),
$G15="Vehicle Distance (e.g. Road Transport)",VLOOKUP($H15,INDIRECT("Ref_EF_Vehicle_Distance"&amp;"_"&amp;$C15),3,0),
$G15="Vehicle Distance (e.g. Public or Freight Transport)",VLOOKUP($H15,INDIRECT("Ref_EF_Vehicle_Distance_S3"&amp;"_"&amp;$C15),3,0),
$G15="Custom Vehicle",VLOOKUP($H15,Tbl_vehical_Settings,2,0),
$G15="Custom Fuel",VLOOKUP($M15,Tbl_Fuel_Settings,2,0),
$G15="Weight Distance (e.g. Freight Transport)",VLOOKUP($H15,INDIRECT("Ref_EF_Weight_Distance"&amp;"_"&amp;$C15),3,0),
$G15="Passenger Distance (e.g. Public Transport)",VLOOKUP($H15,INDIRECT("Ref_EF_Public_Transport"&amp;"_"&amp;$C15),3,0)),"")</f>
        <v/>
      </c>
      <c r="AB15" s="31" t="str" cm="1">
        <f t="array" aca="1" ref="AB15" ca="1">IFERROR(_xlfn.IFS(
OR($G15="Fuel Use",$G15="Fuel Use and Vehicle Distance"),VLOOKUP($M15,INDIRECT("Ref_EF_ByFuel"&amp;"_"&amp;$C15),5,0),
$G15="Vehicle Distance (e.g. Road Transport)",VLOOKUP($H15,INDIRECT("Ref_EF_Vehicle_Distance"&amp;"_"&amp;$C15),5,0),
$G15="Vehicle Distance (e.g. Public or Freight Transport)",VLOOKUP($H15,INDIRECT("Ref_EF_Vehicle_Distance_S3"&amp;"_"&amp;$C15),5,0),
$G15="Custom Vehicle",VLOOKUP($H15,Tbl_vehical_Settings,6,0),
$G15="Custom Fuel",VLOOKUP($M15,Tbl_Fuel_Settings,6,0),
$G15="Weight Distance (e.g. Freight Transport)",VLOOKUP($H15,INDIRECT("Ref_EF_Weight_Distance"&amp;"_"&amp;$C15),5,0),
$G15="Passenger Distance (e.g. Public Transport)",VLOOKUP($H15,INDIRECT("Ref_EF_Public_Transport"&amp;"_"&amp;$C15),5,0)),"")</f>
        <v/>
      </c>
      <c r="AC15" s="31" t="str" cm="1">
        <f t="array" aca="1" ref="AC15" ca="1">IFERROR(_xlfn.IFS(
OR($G15="Fuel Use",$G15="Fuel Use and Vehicle Distance"),VLOOKUP($M15,INDIRECT("Ref_EF_ByFuel"&amp;"_"&amp;$C15),6,0),
$G15="Vehicle Distance (e.g. Road Transport)",VLOOKUP($H15,INDIRECT("Ref_EF_Vehicle_Distance"&amp;"_"&amp;$C15),6,0),
$G15="Vehicle Distance (e.g. Public or Freight Transport)",VLOOKUP($H15,INDIRECT("Ref_EF_Vehicle_Distance_S3"&amp;"_"&amp;$C15),6,0),
$G15="Custom Vehicle",VLOOKUP($H15,Tbl_vehical_Settings,7,0),
$G15="Custom Fuel",VLOOKUP($M15,Tbl_Fuel_Settings,7,0),
$G15="Weight Distance (e.g. Freight Transport)",VLOOKUP($H15,INDIRECT("Ref_EF_Weight_Distance"&amp;"_"&amp;$C15),6,0),
$G15="Passenger Distance (e.g. Public Transport)",VLOOKUP($H15,INDIRECT("Ref_EF_Public_Transport"&amp;"_"&amp;$C15),6,0)),"")</f>
        <v/>
      </c>
      <c r="AD15" s="31" t="str" cm="1">
        <f t="array" aca="1" ref="AD15" ca="1">IFERROR(_xlfn.IFS(
OR($G15="Fuel Use",$G15="Fuel Use and Vehicle Distance"),VLOOKUP($M15,INDIRECT("Ref_EF_ByFuel"&amp;"_"&amp;$C15),4,0),
$G15="Vehicle Distance (e.g. Road Transport)",VLOOKUP($H15,INDIRECT("Ref_EF_Vehicle_Distance"&amp;"_"&amp;$C15),4,0),
$G15="Vehicle Distance (e.g. Public or Freight Transport)",VLOOKUP($H15,INDIRECT("Ref_EF_Vehicle_Distance_S3"&amp;"_"&amp;$C15),4,0),
$G15="Custom Vehicle",VLOOKUP($H15,Tbl_vehical_Settings,5,0),
$G15="Custom Fuel",VLOOKUP($M15,Tbl_Fuel_Settings,5,0),
$G15="Weight Distance (e.g. Freight Transport)",VLOOKUP($H15,INDIRECT("Ref_EF_Weight_Distance"&amp;"_"&amp;$C15),4,0),
$G15="Passenger Distance (e.g. Public Transport)",VLOOKUP($H15,INDIRECT("Ref_EF_Public_Transport"&amp;"_"&amp;$C15),4,0)),"")</f>
        <v/>
      </c>
      <c r="AE15" s="31" t="str" cm="1">
        <f t="array" aca="1" ref="AE15" ca="1">IFERROR(_xlfn.IFS(
OR($G15="Fuel Use",$G15="Fuel Use and Vehicle Distance"),VLOOKUP($M15,INDIRECT("Ref_EF_ByFuel"&amp;"_"&amp;$C15),5,0),
$G15="Vehicle Distance (e.g. Road Transport)",VLOOKUP($H15,INDIRECT("Ref_EF_Vehicle_Distance"&amp;"_"&amp;$C15),5,0),
$G15="Vehicle Distance (e.g. Public or Freight Transport)",VLOOKUP($H15,INDIRECT("Ref_EF_Vehicle_Distance_S3"&amp;"_"&amp;$C15),5,0),
$G15="Custom Vehicle",VLOOKUP($H15,Tbl_vehical_Settings,6,0),
$G15="Custom Fuel",VLOOKUP($M15,Tbl_Fuel_Settings,6,0),
$G15="Weight Distance (e.g. Freight Transport)",VLOOKUP($H15,INDIRECT("Ref_EF_Weight_Distance"&amp;"_"&amp;$C15),5,0),
$G15="Passenger Distance (e.g. Public Transport)",VLOOKUP($H15,INDIRECT("Ref_EF_Public_Transport"&amp;"_"&amp;$C15),5,0)),"")</f>
        <v/>
      </c>
      <c r="AF15" s="31" t="str" cm="1">
        <f t="array" aca="1" ref="AF15" ca="1">IFERROR(_xlfn.IFS(
OR($G15="Fuel Use",$G15="Fuel Use and Vehicle Distance"),VLOOKUP($M15,INDIRECT("Ref_EF_ByFuel"&amp;"_"&amp;$C15),6,0),
$G15="Vehicle Distance (e.g. Road Transport)",VLOOKUP($H15,INDIRECT("Ref_EF_Vehicle_Distance"&amp;"_"&amp;$C15),6,0),
$G15="Vehicle Distance (e.g. Public or Freight Transport)",VLOOKUP($H15,INDIRECT("Ref_EF_Vehicle_Distance_S3"&amp;"_"&amp;$C15),6,0),
$G15="Custom Vehicle",VLOOKUP($H15,Tbl_vehical_Settings,7,0),
$G15="Custom Fuel",VLOOKUP($M15,Tbl_Fuel_Settings,7,0),
$G15="Weight Distance (e.g. Freight Transport)",VLOOKUP($H15,INDIRECT("Ref_EF_Weight_Distance"&amp;"_"&amp;$C15),6,0),
$G15="Passenger Distance (e.g. Public Transport)",VLOOKUP($H15,INDIRECT("Ref_EF_Public_Transport"&amp;"_"&amp;$C15),6,0)),"")</f>
        <v/>
      </c>
      <c r="AG15" s="31" t="str" cm="1">
        <f t="array" aca="1" ref="AG15" ca="1">IFERROR(_xlfn.IFS(
AND($G15="Fuel Use",$E15&lt;&gt;"Road"),VLOOKUP($H15,INDIRECT("Ref_EF_ByFuel_CH4"&amp;"_"&amp;$C15),3,0),
$G15="Vehicle Distance (e.g. Road Transport)",VLOOKUP($H15,INDIRECT("Ref_EF_Vehicle_Distance"&amp;"_"&amp;$C15),7,0),
$G15="Vehicle Distance (e.g. Public or Freight Transport)",VLOOKUP($H15,INDIRECT("Ref_EF_Vehicle_Distance_S3"&amp;"_"&amp;$C15),7,0),
$G15="Fuel Use and Vehicle Distance",VLOOKUP($H15,INDIRECT("Ref_EF_Fuel_Vehicle_Distance"&amp;"_"&amp;$C15),3,0),
$G15="Custom Vehicle",VLOOKUP($H15,Tbl_vehical_Settings,3,0),
$G15="Custom Fuel",VLOOKUP($M15,Tbl_Fuel_Settings,3,0),
$G15="Weight Distance (e.g. Freight Transport)",VLOOKUP($H15,INDIRECT("Ref_EF_Weight_Distance_CH4"&amp;"_"&amp;$C15),3,0),
$G15="Passenger Distance (e.g. Public Transport)",VLOOKUP($H15,INDIRECT("Ref_EF_Public_Transport_CH4"&amp;"_"&amp;$C15),7,0)),"")</f>
        <v/>
      </c>
      <c r="AH15" s="31" t="str" cm="1">
        <f t="array" aca="1" ref="AH15" ca="1">IFERROR(_xlfn.IFS(
AND($G15="Fuel Use",$E15&lt;&gt;"Road"),VLOOKUP($H15,INDIRECT("Ref_EF_ByFuel_CH4"&amp;"_"&amp;$C15),4,0),
$G15="Vehicle Distance (e.g. Road Transport)",VLOOKUP($H15,INDIRECT("Ref_EF_Vehicle_Distance"&amp;"_"&amp;$C15),8,0),
$G15="Vehicle Distance (e.g. Public or Freight Transport)",VLOOKUP($H15,INDIRECT("Ref_EF_Vehicle_Distance_S3"&amp;"_"&amp;$C15),8,0),
$G15="Fuel Use and Vehicle Distance",VLOOKUP($H15,INDIRECT("Ref_EF_Fuel_Vehicle_Distance"&amp;"_"&amp;$C15),4,0),
$G15="Custom Vehicle",VLOOKUP($H15,Tbl_vehical_Settings,6,0),
$G15="Custom Fuel",VLOOKUP($M15,Tbl_Fuel_Settings,6,0),
$G15="Weight Distance (e.g. Freight Transport)",VLOOKUP($H15,INDIRECT("Ref_EF_Weight_Distance_CH4"&amp;"_"&amp;$C15),4,0),
$G15="Passenger Distance (e.g. Public Transport)",VLOOKUP($H15,INDIRECT("Ref_EF_Public_Transport_CH4"&amp;"_"&amp;$C15),8,0)),"")</f>
        <v/>
      </c>
      <c r="AI15" s="31" t="str" cm="1">
        <f t="array" aca="1" ref="AI15" ca="1">IFERROR(_xlfn.IFS(
AND($G15="Fuel Use",$E15&lt;&gt;"Road"),VLOOKUP($H15,INDIRECT("Ref_EF_ByFuel_CH4"&amp;"_"&amp;$C15),5,0),
$G15="Vehicle Distance (e.g. Road Transport)",VLOOKUP($H15,INDIRECT("Ref_EF_Vehicle_Distance"&amp;"_"&amp;$C15),9,0),
$G15="Vehicle Distance (e.g. Public or Freight Transport)",VLOOKUP($H15,INDIRECT("Ref_EF_Vehicle_Distance_S3"&amp;"_"&amp;$C15),9,0),
$G15="Fuel Use and Vehicle Distance",VLOOKUP($H15,INDIRECT("Ref_EF_Fuel_Vehicle_Distance"&amp;"_"&amp;$C15),5,0),
$G15="Custom Vehicle",VLOOKUP($H15,Tbl_vehical_Settings,7,0),
$G15="Custom Fuel",VLOOKUP($M15,Tbl_Fuel_Settings,7,0),
$G15="Weight Distance (e.g. Freight Transport)",VLOOKUP($H15,INDIRECT("Ref_EF_Weight_Distance_CH4"&amp;"_"&amp;$C15),5,0),
$G15="Passenger Distance (e.g. Public Transport)",VLOOKUP($H15,INDIRECT("Ref_EF_Public_Transport_CH4"&amp;"_"&amp;$C15),9,0)),"")</f>
        <v/>
      </c>
      <c r="AJ15" s="31" t="str" cm="1">
        <f t="array" aca="1" ref="AJ15" ca="1">IFERROR(_xlfn.IFS(
AND($G15="Fuel Use",$E15&lt;&gt;"Road"),VLOOKUP($H15,INDIRECT("Ref_EF_ByFuel_CH4"&amp;"_"&amp;$C15),6,0),
$G15="Vehicle Distance (e.g. Road Transport)",VLOOKUP($H15,INDIRECT("Ref_EF_Vehicle_Distance"&amp;"_"&amp;$C15),10,0),
$G15="Vehicle Distance (e.g. Public or Freight Transport)",VLOOKUP($H15,INDIRECT("Ref_EF_Vehicle_Distance_S3"&amp;"_"&amp;$C15),10,0),
$G15="Fuel Use and Vehicle Distance",VLOOKUP($H15,INDIRECT("Ref_EF_Fuel_Vehicle_Distance"&amp;"_"&amp;$C15),6,0),
$G15="Custom Vehicle",VLOOKUP($H15,Tbl_vehical_Settings,4,0),
$G15="Custom Fuel",VLOOKUP($M15,Tbl_Fuel_Settings,4,0),
$G15="Weight Distance (e.g. Freight Transport)",VLOOKUP($H15,INDIRECT("Ref_EF_Weight_Distance_CH4"&amp;"_"&amp;$C15),6,0),
$G15="Passenger Distance (e.g. Public Transport)",VLOOKUP($H15,INDIRECT("Ref_EF_Public_Transport_CH4"&amp;"_"&amp;$C15),10,0)),"")</f>
        <v/>
      </c>
      <c r="AK15" s="31" t="str" cm="1">
        <f t="array" aca="1" ref="AK15" ca="1">IFERROR(_xlfn.IFS(
AND($G15="Fuel Use",$E15&lt;&gt;"Road"),VLOOKUP($H15,INDIRECT("Ref_EF_ByFuel_CH4"&amp;"_"&amp;$C15),7,0),
$G15="Vehicle Distance (e.g. Road Transport)",VLOOKUP($H15,INDIRECT("Ref_EF_Vehicle_Distance"&amp;"_"&amp;$C15),11,0),
$G15="Vehicle Distance (e.g. Public or Freight Transport)",VLOOKUP($H15,INDIRECT("Ref_EF_Vehicle_Distance_S3"&amp;"_"&amp;$C15),11,0),
$G15="Fuel Use and Vehicle Distance",VLOOKUP($H15,INDIRECT("Ref_EF_Fuel_Vehicle_Distance"&amp;"_"&amp;$C15),7,0),
$G15="Custom Vehicle",VLOOKUP($H15,Tbl_vehical_Settings,6,0),
$G15="Custom Fuel",VLOOKUP($M15,Tbl_Fuel_Settings,6,0),
$G15="Weight Distance (e.g. Freight Transport)",VLOOKUP($H15,INDIRECT("Ref_EF_Weight_Distance_CH4"&amp;"_"&amp;$C15),7,0),
$G15="Passenger Distance (e.g. Public Transport)",VLOOKUP($H15,INDIRECT("Ref_EF_Public_Transport_CH4"&amp;"_"&amp;$C15),11,0)),"")</f>
        <v/>
      </c>
      <c r="AL15" s="31" t="str" cm="1">
        <f t="array" aca="1" ref="AL15" ca="1">IFERROR(_xlfn.IFS(
AND($G15="Fuel Use",$E15&lt;&gt;"Road"),VLOOKUP($H15,INDIRECT("Ref_EF_ByFuel_CH4"&amp;"_"&amp;$C15),8,0),
$G15="Vehicle Distance (e.g. Road Transport)",VLOOKUP($H15,INDIRECT("Ref_EF_Vehicle_Distance"&amp;"_"&amp;$C15),12,0),
$G15="Vehicle Distance (e.g. Public or Freight Transport)",VLOOKUP($H15,INDIRECT("Ref_EF_Vehicle_Distance_S3"&amp;"_"&amp;$C15),12,0),
$G15="Fuel Use and Vehicle Distance",VLOOKUP($H15,INDIRECT("Ref_EF_Fuel_Vehicle_Distance"&amp;"_"&amp;$C15),8,0),
$G15="Custom Vehicle",VLOOKUP($H15,Tbl_vehical_Settings,7,0),
$G15="Custom Fuel",VLOOKUP($M15,Tbl_Fuel_Settings,7,0),
$G15="Weight Distance (e.g. Freight Transport)",VLOOKUP($H15,INDIRECT("Ref_EF_Weight_Distance_CH4"&amp;"_"&amp;$C15),8,0),
$G15="Passenger Distance (e.g. Public Transport)",VLOOKUP($H15,INDIRECT("Ref_EF_Public_Transport_CH4"&amp;"_"&amp;$C15),12,0)),"")</f>
        <v/>
      </c>
      <c r="AM15" s="31" t="e">
        <f ca="1">INDEX(Ref_Master_Unit_Table,MATCH($AB15,REF_To_Unit,0),MATCH('Reference - Lookup and Unit'!$A$11,Ref_From_Units,0))</f>
        <v>#N/A</v>
      </c>
      <c r="AN15" s="31" t="e">
        <f ca="1">INDEX(Ref_Master_Unit_Table,MATCH(IF(AND($C15="UK",$G15="Vehicle Distance (e.g. Road Transport)"),$J15,IF(ISBLANK($O15),$J15,$O15)),Ref_From_Units,0),MATCH($AC15,REF_To_Unit,0))</f>
        <v>#N/A</v>
      </c>
      <c r="AO15" s="31" t="e">
        <f ca="1">INDEX(Ref_Master_Unit_Table,MATCH($AE15,REF_To_Unit,0),MATCH('Reference - Lookup and Unit'!$A$11,Ref_From_Units,0))</f>
        <v>#N/A</v>
      </c>
      <c r="AP15" s="31" t="e">
        <f ca="1">INDEX(Ref_Master_Unit_Table,MATCH(IF(AND($C15="UK",$G15="Vehicle Distance (e.g. Road Transport)"),$J15,IF(ISBLANK($O15),$J15,$O15)),Ref_From_Units,0),MATCH($AF15,REF_To_Unit,0))</f>
        <v>#N/A</v>
      </c>
      <c r="AQ15" s="31" t="e">
        <f ca="1">INDEX(Ref_Master_Unit_Table,MATCH($AH15,REF_To_Unit,0),MATCH('Reference - Lookup and Unit'!$A$11,Ref_From_Units,0))</f>
        <v>#N/A</v>
      </c>
      <c r="AR15" s="31" t="e">
        <f ca="1">INDEX(Ref_Master_Unit_Table,MATCH(IF(OR($G15="Fuel Use",$G15="Custom Fuel"),$O15,$J15),Ref_From_Units,0),MATCH($AI15,REF_To_Unit,0))</f>
        <v>#N/A</v>
      </c>
      <c r="AS15" s="31" t="e">
        <f ca="1">INDEX(Ref_Master_Unit_Table,MATCH($AK15,REF_To_Unit,0),MATCH('Reference - Lookup and Unit'!$A$11,Ref_From_Units,0))</f>
        <v>#N/A</v>
      </c>
      <c r="AT15" s="31" t="e">
        <f ca="1">INDEX(Ref_Master_Unit_Table,MATCH(IF(OR($G15="Fuel Use",$G15="Custom Fuel"),$O15,$J15),Ref_From_Units,0),MATCH($AI15,REF_To_Unit,0))</f>
        <v>#N/A</v>
      </c>
      <c r="AU15" s="31" t="e" cm="1">
        <f t="array" aca="1" ref="AU15"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15" s="31">
        <f t="shared" ca="1" si="48"/>
        <v>27.9</v>
      </c>
      <c r="AW15" s="31">
        <f t="shared" ca="1" si="49"/>
        <v>273</v>
      </c>
      <c r="AX15" s="31" t="e" cm="1">
        <f t="array" aca="1" ref="AX15"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15" s="25" t="e" cm="1">
        <f t="array" ref="AY15">_xlfn.IFS(
AND($E15&lt;&gt;"",$G15="Custom Fuel"),("Settings_Custom_Fuels"),
AND($E15&lt;&gt;"",$G15="Custom vehicle"),("Settings_Custom_Vehicle"),
AND($E15&lt;&gt;"",$G15="Fuel Use"),("Ref_DD_vehicle_FuelUse"&amp;"_"&amp;C15&amp;"_"&amp;E15),
AND($E15&lt;&gt;"",$G15="Fuel Use and Vehicle Distance"),("Ref_DD_Fuel_VehicleDistance"&amp;"_"&amp;C15&amp;"_"&amp;E15),
AND($E15&lt;&gt;"",$G15="Vehicle Distance (e.g. Road Transport)"),("Ref_DD_vehicle_VehicleDistance"&amp;"_"&amp;C15&amp;"_"&amp;E15),
AND($E15&lt;&gt;"",$G15="Weight Distance (e.g. Freight Transport)"),("Ref_DD_vehicle_WeightDistance"&amp;"_"&amp;C15&amp;"_"&amp;E15),
AND($E15&lt;&gt;"",$G15="Vehicle Distance (e.g. Public or Freight Transport)"),("Ref_DD_vehicle_DistanceS3"&amp;"_"&amp;C15),
AND($E15&lt;&gt;"",$G15="Passenger Distance (e.g. Public Transport)"),("Ref_DD_vehicle_Passenger"&amp;"_"&amp;C15&amp;"_"&amp;E15),
AND($E15="",$G15="Fuel Use"),("Ref_DD_vehicle_FuelUse"&amp;"_"&amp;C15),
AND($E15="",OR($G15="Vehicle Distance (e.g. Road Transport)",$G15="Fuel Use and Vehicle Distance")),("Ref_DD_vehicle_VehicleDistance"&amp;"_"&amp;C15),
AND($E15="",$G15="Weight Distance (e.g. Freight Transport)"),("Ref_DD_vehicle_WeightDistance"&amp;"_"&amp;C15),
AND($E15="",$G15="Vehicle Distance (e.g. Public or Freight Transport)"),("Ref_DD_vehicle_DistanceS3"&amp;"_"&amp;C15),
AND($E15="",$G15="Passenger Distance (e.g. Public Transport)"),("Ref_DD_vehicle_Passenger"&amp;"_"&amp;C15))</f>
        <v>#N/A</v>
      </c>
      <c r="AZ15" s="25" t="b">
        <f t="shared" ca="1" si="4"/>
        <v>0</v>
      </c>
      <c r="BA15" s="25" t="str">
        <f>IF(AND($F15="Scope 1",OR($G15="Fuel Use",$G15="Custom Fuel",$G15="Fuel Use and Vehicle Distance")),$R15,IF(AND($F15="Scope 1",OR($G15="Vehicle Distance (e.g. Road Transport)",$G15="Custom Vehicle"),ISBLANK($N15)=FALSE),$R15,""))</f>
        <v/>
      </c>
      <c r="BB15" s="25" t="str">
        <f>IF(AND($F15="Scope 1",AND(OR($G15="Vehicle Distance (e.g. Road Transport)",$G15="Custom Vehicle"),OR($C15="US",$C15="Other"),ISBLANK($N15)=TRUE)),$R15,IF(AND($F15="Scope 1",$G15&lt;&gt;"Fuel Use",ISBLANK($N15)=TRUE),$R15,""))</f>
        <v/>
      </c>
      <c r="BC15" s="25" t="str">
        <f>IF(AND(OR(G15="Fuel Use",G15="Custom Fuel"),F15="Scope 1",ISBLANK(I15)=TRUE),S15,"")</f>
        <v/>
      </c>
      <c r="BD15" s="25" t="str">
        <f>IF(AND(OR(G15="Fuel Use",G15="Custom Fuel"),F15="Scope 1",ISBLANK(I15)=FALSE),S15,IF(AND(G15&lt;&gt;"Fuel Use",G15&lt;&gt;"Custom Fuel",F15="Scope 1"),S15,""))</f>
        <v/>
      </c>
      <c r="BE15" s="25" t="str">
        <f>IF(AND(OR(G15="Fuel Use",G15="Custom Fuel"),F15="Scope 1",ISBLANK(I15)=TRUE),T15,"")</f>
        <v/>
      </c>
      <c r="BF15" s="25" t="str">
        <f>IF(AND(OR(G15="Fuel Use",G15="Custom Fuel"),F15="Scope 1",ISBLANK(I15)=FALSE),T15,IF(AND(G15&lt;&gt;"Fuel Use",G15&lt;&gt;"Custom Fuel",F15="Scope 1"),T15,""))</f>
        <v/>
      </c>
      <c r="BG15" s="25" t="str">
        <f>IF(AND($F15="Scope 3",OR($G15="Fuel Use",$G15="Custom Fuel",$G15="Fuel Use and Vehicle Distance")),$R15,IF(AND($F15="Scope 3",OR($G15="Vehicle Distance (e.g. Road Transport)",$G15="Custom Vehicle"),ISBLANK($N15)=FALSE),$R15,""))</f>
        <v/>
      </c>
      <c r="BH15" s="25" t="str">
        <f>IF(AND($F15="Scope 3",AND(OR($G15="Vehicle Distance (e.g. Road Transport)",$G15="Custom Vehicle",$G15="Vehicle Distance (e.g. Public or Freight)"),OR($C15="US",$C15="Other"),ISBLANK($N15)=TRUE)),$R15,IF(AND($F15="Scope 3",$G15&lt;&gt;"Fuel Use",ISBLANK($N15)=TRUE),$R15,""))</f>
        <v/>
      </c>
      <c r="BI15" s="25" t="str">
        <f>IF(AND(OR(G15="Fuel Use",G15="Custom Fuel"),F15="Scope 3",ISBLANK(I15)=TRUE),S15,"")</f>
        <v/>
      </c>
      <c r="BJ15" s="25" t="str">
        <f>IF(AND(OR(G15="Fuel Use",G15="Custom Fuel"),F15="Scope 3",ISBLANK(I15)=FALSE),S15,IF(AND(G15&lt;&gt;"Fuel Use",G15&lt;&gt;"Custom Fuel",F15="Scope 3"),S15,""))</f>
        <v/>
      </c>
      <c r="BK15" s="25" t="str">
        <f>IF(AND(OR(G15="Fuel Use",G15="Custom Fuel"),F15="Scope 3",ISBLANK(I15)=TRUE),T15,"")</f>
        <v/>
      </c>
      <c r="BL15" s="25" t="str">
        <f>IF(AND(OR(G15="Fuel Use",G15="Custom Fuel"),F15="Scope 3",ISBLANK(I15)=FALSE),T15,IF(AND(G15&lt;&gt;"Fuel Use",G15&lt;&gt;"Custom Fuel",F15="Scope 3"),T15,""))</f>
        <v/>
      </c>
      <c r="BM15" s="25" t="str">
        <f>IF(OR($G15="Fuel Use",$G15="Custom Fuel"),$V15,IF(AND(OR($G15="Vehicle Distance (e.g. Road Transport)",$G15="Custom Vehicle"),ISBLANK($N15)=FALSE),$V15,""))</f>
        <v/>
      </c>
      <c r="BN15" s="25" t="str">
        <f ca="1">IF(AND(AND(OR($G15="Vehicle Distance (e.g. Road Transport)",$G15="Custom Vehicle"),OR($C15="US",$C15="Other"),ISBLANK($N15)=TRUE)),$V15,IF(AND($G15&lt;&gt;"Fuel Use",ISBLANK($N15)=TRUE),$V15,""))</f>
        <v/>
      </c>
      <c r="BO15" s="25" t="str">
        <f t="shared" si="11"/>
        <v/>
      </c>
      <c r="BP15" s="25" t="str">
        <f t="shared" si="12"/>
        <v/>
      </c>
      <c r="BQ15" s="25" t="str">
        <f t="shared" si="13"/>
        <v/>
      </c>
      <c r="BR15" s="25" t="str">
        <f t="shared" si="14"/>
        <v/>
      </c>
      <c r="BS15" s="25" t="str">
        <f t="shared" si="15"/>
        <v/>
      </c>
      <c r="BT15" s="25" t="str">
        <f t="shared" si="16"/>
        <v/>
      </c>
      <c r="BU15" s="25" t="str">
        <f t="shared" si="17"/>
        <v/>
      </c>
      <c r="BV15" s="25" t="str">
        <f t="shared" si="18"/>
        <v/>
      </c>
      <c r="BW15" s="25" t="str">
        <f t="shared" si="19"/>
        <v/>
      </c>
      <c r="BX15" s="25" t="str">
        <f t="shared" si="20"/>
        <v/>
      </c>
      <c r="BY15" s="25" t="str">
        <f t="shared" si="21"/>
        <v/>
      </c>
      <c r="BZ15" s="25" t="str">
        <f t="shared" si="22"/>
        <v/>
      </c>
      <c r="CA15" s="25" t="str">
        <f t="shared" si="23"/>
        <v/>
      </c>
      <c r="CB15" s="25" t="str">
        <f t="shared" si="24"/>
        <v/>
      </c>
      <c r="CC15" s="25" t="str">
        <f t="shared" si="25"/>
        <v/>
      </c>
      <c r="CD15" s="25" t="str">
        <f t="shared" si="26"/>
        <v/>
      </c>
      <c r="CE15" s="25" t="str">
        <f t="shared" si="27"/>
        <v/>
      </c>
      <c r="CF15" s="25" t="str">
        <f t="shared" si="28"/>
        <v/>
      </c>
      <c r="CG15" s="25" t="str">
        <f t="shared" si="29"/>
        <v/>
      </c>
      <c r="CH15" s="25" t="str">
        <f t="shared" si="30"/>
        <v/>
      </c>
      <c r="CI15" s="25" t="str">
        <f t="shared" si="31"/>
        <v/>
      </c>
      <c r="CJ15" s="25" t="str">
        <f t="shared" si="32"/>
        <v/>
      </c>
      <c r="CK15" s="25" t="str">
        <f t="shared" si="33"/>
        <v/>
      </c>
      <c r="CL15" s="25" t="str">
        <f t="shared" si="34"/>
        <v/>
      </c>
      <c r="CM15" s="25" t="str">
        <f t="shared" si="35"/>
        <v/>
      </c>
      <c r="CN15" s="25" t="str">
        <f t="shared" si="36"/>
        <v/>
      </c>
      <c r="CO15" s="25" t="str">
        <f t="shared" si="37"/>
        <v/>
      </c>
      <c r="CP15" s="25" t="str">
        <f t="shared" si="38"/>
        <v/>
      </c>
      <c r="CQ15" s="25" t="str">
        <f t="shared" si="39"/>
        <v/>
      </c>
      <c r="CR15" s="25" t="str">
        <f t="shared" si="40"/>
        <v/>
      </c>
      <c r="CS15" s="25" t="str">
        <f t="shared" si="41"/>
        <v/>
      </c>
      <c r="CT15" s="25" t="str">
        <f t="shared" si="42"/>
        <v/>
      </c>
      <c r="CU15" s="25" t="str">
        <f t="shared" si="43"/>
        <v/>
      </c>
      <c r="CV15" s="25" t="str">
        <f t="shared" si="44"/>
        <v/>
      </c>
      <c r="CW15" s="25" t="str">
        <f t="shared" si="45"/>
        <v/>
      </c>
      <c r="CX15" s="25" t="str" cm="1">
        <f t="array" ref="CX15">_xlfn.IFNA(_xlfn.IFS(
$G15="Weight Distance (e.g. Freight Transport)","Ref_DD_WeightDistanceUnits",
$G15="Passenger Distance (e.g. Public Transport)","Ref_DD_PasengerDistanceUnits",
$G15="Vehicle Distance (e.g. Road Transport)", "Ref_DD_DistanceUnit",
$G15="Vehicle Distance (e.g. Public or Freight Transport)","Ref_DD_DistanceUnit",
$G15="Fuel Use and Vehicle Distance", "Ref_DD_DistanceUnit",
$G15="Custom Vehicle",VLOOKUP($H15,'2. Settings'!$B$39:$I$54,8,FALSE)),"")</f>
        <v/>
      </c>
      <c r="CY15" s="27" t="str">
        <f ca="1">IF(AND(ISERROR(#REF!*$AU15)=TRUE,ISERROR((S15/1000)*$AV15)=TRUE,ISERROR((T15/1000)*$AW15)=FALSE),((T15/1000)*$AW15),"")</f>
        <v/>
      </c>
      <c r="CZ15" s="27" cm="1">
        <f t="array" ref="CZ15">IFERROR(_xlfn.IFS(
AND($G15="Custom vehicle",OR($J15="Passenger Mile",$J15="Passenger Kilometer")),"Passenger Distance (e.g. Public Transport)",
AND($G15="Custom vehicle",OR($J15="Tonne Mile",$J15="Tonne Kilometer",$J15="Short Ton Kilometer",$J15="Short Ton Mile")),"Weight Distance (e.g. Freight Transport)",
AND($G15="Custom vehicle",OR($J15="Mile",$J15="Kilometer")),"Vehicle Distance (e.g. Road Transport)",
$G15&lt;&gt;"Custom vehicle",$G15),"")</f>
        <v>0</v>
      </c>
      <c r="DA15" s="27" t="str" cm="1">
        <f t="array" ref="DA15">IFERROR(_xlfn.IFS(OR(J15="Tonne Kilometer",J15="Tonne Mile",J15="Short Ton Mile",J15="Short Ton Kilometer"),I15*K15,OR(J15="Passenger Kilometer",J15="Passenger Mile"),I15*L15,OR(J15="Kilometer",J15="Mile"),$I15),"")</f>
        <v/>
      </c>
    </row>
    <row r="16" spans="2:105" x14ac:dyDescent="0.25">
      <c r="B16" s="244"/>
      <c r="C16" s="71" t="str" cm="1">
        <f t="array" ref="C16">IFERROR(_xlfn.IFS($D16="Other", D16&amp;"_" &amp;Ref_Other_to,OR($D16="UK", $D16="US"),$D16),"")</f>
        <v/>
      </c>
      <c r="D16" s="71"/>
      <c r="E16" s="71"/>
      <c r="F16" s="71"/>
      <c r="G16" s="72"/>
      <c r="H16" s="72"/>
      <c r="I16" s="73"/>
      <c r="J16" s="73"/>
      <c r="K16" s="73"/>
      <c r="L16" s="73"/>
      <c r="M16" s="74"/>
      <c r="N16" s="75"/>
      <c r="O16" s="71"/>
      <c r="P16" s="165" t="str">
        <f>IFERROR(IF(AND(C16&lt;&gt;"US",G16="Vehicle Distance (e.g. Road Transport)"),(VLOOKUP(H16,'Reference - EF Road'!A162:R181,16, FALSE)),""),"")</f>
        <v/>
      </c>
      <c r="Q16" s="166" t="str">
        <f t="shared" si="46"/>
        <v/>
      </c>
      <c r="R16" s="76" t="str" cm="1">
        <f t="array" aca="1" ref="R16" ca="1">IFERROR(_xlfn.IFS(
AND(AA16&gt;0, OR($G16="Fuel Use",$G16="Custom Fuel")),$N16*$AA16*$AM16*$AN16,
AND(AA16&gt;0,$CZ16="Vehicle Distance (e.g. Road Transport)"),$I16*$AA16*$AM16*$AN16,
AND(AA16&gt;0,$CZ16="Vehicle Distance (e.g. Public or Freight Transport)"),$I16*$AA16*$AM16*$AN16,
AND(AA16&gt;0,$CZ16="Fuel Use and Vehicle Distance"),$N16*$AA16*$AM16*$AN16,
AND(AA16&gt;0,$CZ16="Passenger Distance (e.g. Public Transport)"),$DA16*$AA16*$AM16*$AN16,
AND(AA16&gt;0,$CZ16="Weight Distance (e.g. Freight Transport)"),$DA16*$AA16*$AM16*$AN16),"")</f>
        <v/>
      </c>
      <c r="S16" s="77" t="str" cm="1">
        <f t="array" aca="1" ref="S16" ca="1">IFERROR(_xlfn.IFS(
AND(AG16&gt;-1, $G16="Fuel Use and Vehicle Distance"),$I16*$AG16*$AQ16*$AR16,
AND(AG16&gt;-1, $G16="Vehicle Distance (e.g. Road Transport)"),$I16*$AG16*$AQ16*$AR16,
AND(AG16&gt;-1, $CZ16="Vehicle Distance (e.g. Public or Freight Transport)"),$I16*$AG16*$AQ16*$AR16,
AND(AG16&gt;-1, OR($G16="Fuel Use",$G16="Custom Fuel")), $N16*$AG16*$AQ16*$AR16*1000,
AND(AG16&gt;-1, $G16="Custom Vehicle"),$DA16*$AG16*$AQ16*$AR16*1000,
AND(AG16&gt;-1, AND($G16&lt;&gt;"Custom Vehicle",$CZ16="Weight Distance (e.g. Freight Transport)")),$DA16*$AG16*$AQ16*$AR16*1000,
AND(AG16&gt;-1, AND($G16&lt;&gt;"Custom Vehicle",$CZ16="Passenger Distance (e.g. Public Transport)")), $DA16*$AG16*$AQ16*$AR16*1000),"")</f>
        <v/>
      </c>
      <c r="T16" s="77" t="str" cm="1">
        <f t="array" aca="1" ref="T16" ca="1">IFERROR(_xlfn.IFS(
AND(AJ16&gt;0,$G16="Fuel Use and Vehicle Distance"),$I16*$AJ16*$AS16*$AT16,
AND(AJ16&gt;0,$G16="Vehicle Distance (e.g. Road Transport)"),$I16*$AJ16*$AS16*$AT16,
AND(AJ16&gt;0,$G16="Vehicle Distance (e.g. Public or Freight Transport)"),$I16*$AJ16*$AS16*$AT16,
AND(AJ16&gt;0,OR($G16="Fuel Use",$G16="Custom Fuel")), $N16*$AJ16*$AS16*$AT16*1000,
AND(AJ16&gt;0,$G16="Custom Vehicle"),$DA16*$AJ16*$AS16*$AT16*1000,
AND(AJ16&gt;0,AND($G16&lt;&gt;"Custom Vehicle",$CZ16="Weight Distance (e.g. Freight Transport)")),$DA16*$AJ16*$AS16*$AT16*1000,
AND(AJ16&gt;0,AND($G16&lt;&gt;"Custom Vehicle",$CZ16="Passenger Distance (e.g. Public Transport)")), $DA16*$AJ16*$AS16*$AT16*1000),"")</f>
        <v/>
      </c>
      <c r="U16" s="78" t="str">
        <f t="shared" ca="1" si="47"/>
        <v/>
      </c>
      <c r="V16" s="161" t="str" cm="1">
        <f t="array" aca="1" ref="V16" ca="1">IFERROR(_xlfn.IFS(
AND(AD16&gt;0,OR($CZ16="Fuel Use",$CZ16="Custom Fuel",$CZ16="Fuel Use and Vehicle Distance")),($N16*$AD16*$AO16*$AP16),
AND(AD16&gt;0,$G16="Custom Vehicle"),$DA16*$AD16*$AO16*$AP16,
AND(AD16&gt;0,$CZ16="Vehicle Distance (e.g. Public or Freight Transport)"),$I16*$AD16*$AM16*$AN16,
AND(AD16&gt;0,$CZ16="Weight Distance (e.g. Freight Transport)"),($I16*$K16*$AD16*$AO16*$AP16),
AND(AD16&gt;0,$CZ16="Passenger Distance (e.g. Public Transport)"),$I16*$L16*$AD16*$AO16*$AP16,
AND(AD16&gt;0,$CZ16="Vehicle Distance (e.g. Road Transport)"),($I16*$AD16*$AO16*$AP16)),"")</f>
        <v/>
      </c>
      <c r="W16" s="164" t="str" cm="1">
        <f t="array" aca="1" ref="W16" ca="1">IFERROR(_xlfn.IFS(AND(ISNUMBER(R16),AA16=0),AA16&amp;" "&amp;"("&amp;AB16&amp;" CO2/"&amp;AC16&amp;")",AND(ISNUMBER(R16),AA16&gt;0),ROUND(AA16,INT(3-LOG(AA16)))&amp;" "&amp;"("&amp;AB16&amp;" CO2/"&amp;AC16&amp;")"),"")</f>
        <v/>
      </c>
      <c r="X16" s="164" t="str" cm="1">
        <f t="array" aca="1" ref="X16" ca="1">IFERROR(_xlfn.IFS(AND(ISNUMBER(S16), AG16=0),AG16&amp;" "&amp;"("&amp;AH16&amp;" CH4/"&amp;AI16&amp;")",AND(ISNUMBER(S16), AG16&gt;0),ROUND(AG16,INT(3-LOG(AG16)))&amp;" "&amp;"("&amp;AH16&amp;" CH4/"&amp;AI16&amp;")"),"")</f>
        <v/>
      </c>
      <c r="Y16" s="164" t="str" cm="1">
        <f t="array" aca="1" ref="Y16" ca="1">IFERROR(_xlfn.IFS(AND(ISNUMBER(T16), AJ16=0),AJ16&amp;" "&amp;"("&amp;AK16&amp;" CH4/"&amp;AL16&amp;")",AND(ISNUMBER(T16), AJ16&gt;0),ROUND(AJ16,INT(3-LOG(AJ16)))&amp;" "&amp;"("&amp;AK16&amp;" N2O/"&amp;AL16&amp;")"),"")</f>
        <v/>
      </c>
      <c r="Z16" s="245" t="str" cm="1">
        <f t="array" aca="1" ref="Z16" ca="1">IFERROR(_xlfn.IFS(AND(ISNUMBER(V16),AD16=0),AD16&amp;" "&amp;"("&amp;AE16&amp;" CO2/"&amp;AF16&amp;")",AND(ISNUMBER(V16),AD16&gt;0),ROUND(AD16,INT(3-LOG(AD16)))&amp;" "&amp;"("&amp;AE16&amp;" CO2/"&amp;AF16&amp;")"),"")</f>
        <v/>
      </c>
      <c r="AA16" s="240" t="str" cm="1">
        <f t="array" aca="1" ref="AA16" ca="1">IFERROR(_xlfn.IFS(
OR($G16="Fuel Use",$G16="Fuel Use and Vehicle Distance"),VLOOKUP($M16,INDIRECT("Ref_EF_ByFuel"&amp;"_"&amp;$C16),3,0),
$G16="Vehicle Distance (e.g. Road Transport)",VLOOKUP($H16,INDIRECT("Ref_EF_Vehicle_Distance"&amp;"_"&amp;$C16),3,0),
$G16="Vehicle Distance (e.g. Public or Freight Transport)",VLOOKUP($H16,INDIRECT("Ref_EF_Vehicle_Distance_S3"&amp;"_"&amp;$C16),3,0),
$G16="Custom Vehicle",VLOOKUP($H16,Tbl_vehical_Settings,2,0),
$G16="Custom Fuel",VLOOKUP($M16,Tbl_Fuel_Settings,2,0),
$G16="Weight Distance (e.g. Freight Transport)",VLOOKUP($H16,INDIRECT("Ref_EF_Weight_Distance"&amp;"_"&amp;$C16),3,0),
$G16="Passenger Distance (e.g. Public Transport)",VLOOKUP($H16,INDIRECT("Ref_EF_Public_Transport"&amp;"_"&amp;$C16),3,0)),"")</f>
        <v/>
      </c>
      <c r="AB16" s="31" t="str" cm="1">
        <f t="array" aca="1" ref="AB16" ca="1">IFERROR(_xlfn.IFS(
OR($G16="Fuel Use",$G16="Fuel Use and Vehicle Distance"),VLOOKUP($M16,INDIRECT("Ref_EF_ByFuel"&amp;"_"&amp;$C16),5,0),
$G16="Vehicle Distance (e.g. Road Transport)",VLOOKUP($H16,INDIRECT("Ref_EF_Vehicle_Distance"&amp;"_"&amp;$C16),5,0),
$G16="Vehicle Distance (e.g. Public or Freight Transport)",VLOOKUP($H16,INDIRECT("Ref_EF_Vehicle_Distance_S3"&amp;"_"&amp;$C16),5,0),
$G16="Custom Vehicle",VLOOKUP($H16,Tbl_vehical_Settings,6,0),
$G16="Custom Fuel",VLOOKUP($M16,Tbl_Fuel_Settings,6,0),
$G16="Weight Distance (e.g. Freight Transport)",VLOOKUP($H16,INDIRECT("Ref_EF_Weight_Distance"&amp;"_"&amp;$C16),5,0),
$G16="Passenger Distance (e.g. Public Transport)",VLOOKUP($H16,INDIRECT("Ref_EF_Public_Transport"&amp;"_"&amp;$C16),5,0)),"")</f>
        <v/>
      </c>
      <c r="AC16" s="31" t="str" cm="1">
        <f t="array" aca="1" ref="AC16" ca="1">IFERROR(_xlfn.IFS(
OR($G16="Fuel Use",$G16="Fuel Use and Vehicle Distance"),VLOOKUP($M16,INDIRECT("Ref_EF_ByFuel"&amp;"_"&amp;$C16),6,0),
$G16="Vehicle Distance (e.g. Road Transport)",VLOOKUP($H16,INDIRECT("Ref_EF_Vehicle_Distance"&amp;"_"&amp;$C16),6,0),
$G16="Vehicle Distance (e.g. Public or Freight Transport)",VLOOKUP($H16,INDIRECT("Ref_EF_Vehicle_Distance_S3"&amp;"_"&amp;$C16),6,0),
$G16="Custom Vehicle",VLOOKUP($H16,Tbl_vehical_Settings,7,0),
$G16="Custom Fuel",VLOOKUP($M16,Tbl_Fuel_Settings,7,0),
$G16="Weight Distance (e.g. Freight Transport)",VLOOKUP($H16,INDIRECT("Ref_EF_Weight_Distance"&amp;"_"&amp;$C16),6,0),
$G16="Passenger Distance (e.g. Public Transport)",VLOOKUP($H16,INDIRECT("Ref_EF_Public_Transport"&amp;"_"&amp;$C16),6,0)),"")</f>
        <v/>
      </c>
      <c r="AD16" s="31" t="str" cm="1">
        <f t="array" aca="1" ref="AD16" ca="1">IFERROR(_xlfn.IFS(
OR($G16="Fuel Use",$G16="Fuel Use and Vehicle Distance"),VLOOKUP($M16,INDIRECT("Ref_EF_ByFuel"&amp;"_"&amp;$C16),4,0),
$G16="Vehicle Distance (e.g. Road Transport)",VLOOKUP($H16,INDIRECT("Ref_EF_Vehicle_Distance"&amp;"_"&amp;$C16),4,0),
$G16="Vehicle Distance (e.g. Public or Freight Transport)",VLOOKUP($H16,INDIRECT("Ref_EF_Vehicle_Distance_S3"&amp;"_"&amp;$C16),4,0),
$G16="Custom Vehicle",VLOOKUP($H16,Tbl_vehical_Settings,5,0),
$G16="Custom Fuel",VLOOKUP($M16,Tbl_Fuel_Settings,5,0),
$G16="Weight Distance (e.g. Freight Transport)",VLOOKUP($H16,INDIRECT("Ref_EF_Weight_Distance"&amp;"_"&amp;$C16),4,0),
$G16="Passenger Distance (e.g. Public Transport)",VLOOKUP($H16,INDIRECT("Ref_EF_Public_Transport"&amp;"_"&amp;$C16),4,0)),"")</f>
        <v/>
      </c>
      <c r="AE16" s="31" t="str" cm="1">
        <f t="array" aca="1" ref="AE16" ca="1">IFERROR(_xlfn.IFS(
OR($G16="Fuel Use",$G16="Fuel Use and Vehicle Distance"),VLOOKUP($M16,INDIRECT("Ref_EF_ByFuel"&amp;"_"&amp;$C16),5,0),
$G16="Vehicle Distance (e.g. Road Transport)",VLOOKUP($H16,INDIRECT("Ref_EF_Vehicle_Distance"&amp;"_"&amp;$C16),5,0),
$G16="Vehicle Distance (e.g. Public or Freight Transport)",VLOOKUP($H16,INDIRECT("Ref_EF_Vehicle_Distance_S3"&amp;"_"&amp;$C16),5,0),
$G16="Custom Vehicle",VLOOKUP($H16,Tbl_vehical_Settings,6,0),
$G16="Custom Fuel",VLOOKUP($M16,Tbl_Fuel_Settings,6,0),
$G16="Weight Distance (e.g. Freight Transport)",VLOOKUP($H16,INDIRECT("Ref_EF_Weight_Distance"&amp;"_"&amp;$C16),5,0),
$G16="Passenger Distance (e.g. Public Transport)",VLOOKUP($H16,INDIRECT("Ref_EF_Public_Transport"&amp;"_"&amp;$C16),5,0)),"")</f>
        <v/>
      </c>
      <c r="AF16" s="31" t="str" cm="1">
        <f t="array" aca="1" ref="AF16" ca="1">IFERROR(_xlfn.IFS(
OR($G16="Fuel Use",$G16="Fuel Use and Vehicle Distance"),VLOOKUP($M16,INDIRECT("Ref_EF_ByFuel"&amp;"_"&amp;$C16),6,0),
$G16="Vehicle Distance (e.g. Road Transport)",VLOOKUP($H16,INDIRECT("Ref_EF_Vehicle_Distance"&amp;"_"&amp;$C16),6,0),
$G16="Vehicle Distance (e.g. Public or Freight Transport)",VLOOKUP($H16,INDIRECT("Ref_EF_Vehicle_Distance_S3"&amp;"_"&amp;$C16),6,0),
$G16="Custom Vehicle",VLOOKUP($H16,Tbl_vehical_Settings,7,0),
$G16="Custom Fuel",VLOOKUP($M16,Tbl_Fuel_Settings,7,0),
$G16="Weight Distance (e.g. Freight Transport)",VLOOKUP($H16,INDIRECT("Ref_EF_Weight_Distance"&amp;"_"&amp;$C16),6,0),
$G16="Passenger Distance (e.g. Public Transport)",VLOOKUP($H16,INDIRECT("Ref_EF_Public_Transport"&amp;"_"&amp;$C16),6,0)),"")</f>
        <v/>
      </c>
      <c r="AG16" s="31" t="str" cm="1">
        <f t="array" aca="1" ref="AG16" ca="1">IFERROR(_xlfn.IFS(
AND($G16="Fuel Use",$E16&lt;&gt;"Road"),VLOOKUP($H16,INDIRECT("Ref_EF_ByFuel_CH4"&amp;"_"&amp;$C16),3,0),
$G16="Vehicle Distance (e.g. Road Transport)",VLOOKUP($H16,INDIRECT("Ref_EF_Vehicle_Distance"&amp;"_"&amp;$C16),7,0),
$G16="Vehicle Distance (e.g. Public or Freight Transport)",VLOOKUP($H16,INDIRECT("Ref_EF_Vehicle_Distance_S3"&amp;"_"&amp;$C16),7,0),
$G16="Fuel Use and Vehicle Distance",VLOOKUP($H16,INDIRECT("Ref_EF_Fuel_Vehicle_Distance"&amp;"_"&amp;$C16),3,0),
$G16="Custom Vehicle",VLOOKUP($H16,Tbl_vehical_Settings,3,0),
$G16="Custom Fuel",VLOOKUP($M16,Tbl_Fuel_Settings,3,0),
$G16="Weight Distance (e.g. Freight Transport)",VLOOKUP($H16,INDIRECT("Ref_EF_Weight_Distance_CH4"&amp;"_"&amp;$C16),3,0),
$G16="Passenger Distance (e.g. Public Transport)",VLOOKUP($H16,INDIRECT("Ref_EF_Public_Transport_CH4"&amp;"_"&amp;$C16),7,0)),"")</f>
        <v/>
      </c>
      <c r="AH16" s="31" t="str" cm="1">
        <f t="array" aca="1" ref="AH16" ca="1">IFERROR(_xlfn.IFS(
AND($G16="Fuel Use",$E16&lt;&gt;"Road"),VLOOKUP($H16,INDIRECT("Ref_EF_ByFuel_CH4"&amp;"_"&amp;$C16),4,0),
$G16="Vehicle Distance (e.g. Road Transport)",VLOOKUP($H16,INDIRECT("Ref_EF_Vehicle_Distance"&amp;"_"&amp;$C16),8,0),
$G16="Vehicle Distance (e.g. Public or Freight Transport)",VLOOKUP($H16,INDIRECT("Ref_EF_Vehicle_Distance_S3"&amp;"_"&amp;$C16),8,0),
$G16="Fuel Use and Vehicle Distance",VLOOKUP($H16,INDIRECT("Ref_EF_Fuel_Vehicle_Distance"&amp;"_"&amp;$C16),4,0),
$G16="Custom Vehicle",VLOOKUP($H16,Tbl_vehical_Settings,6,0),
$G16="Custom Fuel",VLOOKUP($M16,Tbl_Fuel_Settings,6,0),
$G16="Weight Distance (e.g. Freight Transport)",VLOOKUP($H16,INDIRECT("Ref_EF_Weight_Distance_CH4"&amp;"_"&amp;$C16),4,0),
$G16="Passenger Distance (e.g. Public Transport)",VLOOKUP($H16,INDIRECT("Ref_EF_Public_Transport_CH4"&amp;"_"&amp;$C16),8,0)),"")</f>
        <v/>
      </c>
      <c r="AI16" s="31" t="str" cm="1">
        <f t="array" aca="1" ref="AI16" ca="1">IFERROR(_xlfn.IFS(
AND($G16="Fuel Use",$E16&lt;&gt;"Road"),VLOOKUP($H16,INDIRECT("Ref_EF_ByFuel_CH4"&amp;"_"&amp;$C16),5,0),
$G16="Vehicle Distance (e.g. Road Transport)",VLOOKUP($H16,INDIRECT("Ref_EF_Vehicle_Distance"&amp;"_"&amp;$C16),9,0),
$G16="Vehicle Distance (e.g. Public or Freight Transport)",VLOOKUP($H16,INDIRECT("Ref_EF_Vehicle_Distance_S3"&amp;"_"&amp;$C16),9,0),
$G16="Fuel Use and Vehicle Distance",VLOOKUP($H16,INDIRECT("Ref_EF_Fuel_Vehicle_Distance"&amp;"_"&amp;$C16),5,0),
$G16="Custom Vehicle",VLOOKUP($H16,Tbl_vehical_Settings,7,0),
$G16="Custom Fuel",VLOOKUP($M16,Tbl_Fuel_Settings,7,0),
$G16="Weight Distance (e.g. Freight Transport)",VLOOKUP($H16,INDIRECT("Ref_EF_Weight_Distance_CH4"&amp;"_"&amp;$C16),5,0),
$G16="Passenger Distance (e.g. Public Transport)",VLOOKUP($H16,INDIRECT("Ref_EF_Public_Transport_CH4"&amp;"_"&amp;$C16),9,0)),"")</f>
        <v/>
      </c>
      <c r="AJ16" s="31" t="str" cm="1">
        <f t="array" aca="1" ref="AJ16" ca="1">IFERROR(_xlfn.IFS(
AND($G16="Fuel Use",$E16&lt;&gt;"Road"),VLOOKUP($H16,INDIRECT("Ref_EF_ByFuel_CH4"&amp;"_"&amp;$C16),6,0),
$G16="Vehicle Distance (e.g. Road Transport)",VLOOKUP($H16,INDIRECT("Ref_EF_Vehicle_Distance"&amp;"_"&amp;$C16),10,0),
$G16="Vehicle Distance (e.g. Public or Freight Transport)",VLOOKUP($H16,INDIRECT("Ref_EF_Vehicle_Distance_S3"&amp;"_"&amp;$C16),10,0),
$G16="Fuel Use and Vehicle Distance",VLOOKUP($H16,INDIRECT("Ref_EF_Fuel_Vehicle_Distance"&amp;"_"&amp;$C16),6,0),
$G16="Custom Vehicle",VLOOKUP($H16,Tbl_vehical_Settings,4,0),
$G16="Custom Fuel",VLOOKUP($M16,Tbl_Fuel_Settings,4,0),
$G16="Weight Distance (e.g. Freight Transport)",VLOOKUP($H16,INDIRECT("Ref_EF_Weight_Distance_CH4"&amp;"_"&amp;$C16),6,0),
$G16="Passenger Distance (e.g. Public Transport)",VLOOKUP($H16,INDIRECT("Ref_EF_Public_Transport_CH4"&amp;"_"&amp;$C16),10,0)),"")</f>
        <v/>
      </c>
      <c r="AK16" s="31" t="str" cm="1">
        <f t="array" aca="1" ref="AK16" ca="1">IFERROR(_xlfn.IFS(
AND($G16="Fuel Use",$E16&lt;&gt;"Road"),VLOOKUP($H16,INDIRECT("Ref_EF_ByFuel_CH4"&amp;"_"&amp;$C16),7,0),
$G16="Vehicle Distance (e.g. Road Transport)",VLOOKUP($H16,INDIRECT("Ref_EF_Vehicle_Distance"&amp;"_"&amp;$C16),11,0),
$G16="Vehicle Distance (e.g. Public or Freight Transport)",VLOOKUP($H16,INDIRECT("Ref_EF_Vehicle_Distance_S3"&amp;"_"&amp;$C16),11,0),
$G16="Fuel Use and Vehicle Distance",VLOOKUP($H16,INDIRECT("Ref_EF_Fuel_Vehicle_Distance"&amp;"_"&amp;$C16),7,0),
$G16="Custom Vehicle",VLOOKUP($H16,Tbl_vehical_Settings,6,0),
$G16="Custom Fuel",VLOOKUP($M16,Tbl_Fuel_Settings,6,0),
$G16="Weight Distance (e.g. Freight Transport)",VLOOKUP($H16,INDIRECT("Ref_EF_Weight_Distance_CH4"&amp;"_"&amp;$C16),7,0),
$G16="Passenger Distance (e.g. Public Transport)",VLOOKUP($H16,INDIRECT("Ref_EF_Public_Transport_CH4"&amp;"_"&amp;$C16),11,0)),"")</f>
        <v/>
      </c>
      <c r="AL16" s="31" t="str" cm="1">
        <f t="array" aca="1" ref="AL16" ca="1">IFERROR(_xlfn.IFS(
AND($G16="Fuel Use",$E16&lt;&gt;"Road"),VLOOKUP($H16,INDIRECT("Ref_EF_ByFuel_CH4"&amp;"_"&amp;$C16),8,0),
$G16="Vehicle Distance (e.g. Road Transport)",VLOOKUP($H16,INDIRECT("Ref_EF_Vehicle_Distance"&amp;"_"&amp;$C16),12,0),
$G16="Vehicle Distance (e.g. Public or Freight Transport)",VLOOKUP($H16,INDIRECT("Ref_EF_Vehicle_Distance_S3"&amp;"_"&amp;$C16),12,0),
$G16="Fuel Use and Vehicle Distance",VLOOKUP($H16,INDIRECT("Ref_EF_Fuel_Vehicle_Distance"&amp;"_"&amp;$C16),8,0),
$G16="Custom Vehicle",VLOOKUP($H16,Tbl_vehical_Settings,7,0),
$G16="Custom Fuel",VLOOKUP($M16,Tbl_Fuel_Settings,7,0),
$G16="Weight Distance (e.g. Freight Transport)",VLOOKUP($H16,INDIRECT("Ref_EF_Weight_Distance_CH4"&amp;"_"&amp;$C16),8,0),
$G16="Passenger Distance (e.g. Public Transport)",VLOOKUP($H16,INDIRECT("Ref_EF_Public_Transport_CH4"&amp;"_"&amp;$C16),12,0)),"")</f>
        <v/>
      </c>
      <c r="AM16" s="31" t="e">
        <f ca="1">INDEX(Ref_Master_Unit_Table,MATCH($AB16,REF_To_Unit,0),MATCH('Reference - Lookup and Unit'!$A$11,Ref_From_Units,0))</f>
        <v>#N/A</v>
      </c>
      <c r="AN16" s="31" t="e">
        <f ca="1">INDEX(Ref_Master_Unit_Table,MATCH(IF(AND($C16="UK",$G16="Vehicle Distance (e.g. Road Transport)"),$J16,IF(ISBLANK($O16),$J16,$O16)),Ref_From_Units,0),MATCH($AC16,REF_To_Unit,0))</f>
        <v>#N/A</v>
      </c>
      <c r="AO16" s="31" t="e">
        <f ca="1">INDEX(Ref_Master_Unit_Table,MATCH($AE16,REF_To_Unit,0),MATCH('Reference - Lookup and Unit'!$A$11,Ref_From_Units,0))</f>
        <v>#N/A</v>
      </c>
      <c r="AP16" s="31" t="e">
        <f ca="1">INDEX(Ref_Master_Unit_Table,MATCH(IF(AND($C16="UK",$G16="Vehicle Distance (e.g. Road Transport)"),$J16,IF(ISBLANK($O16),$J16,$O16)),Ref_From_Units,0),MATCH($AF16,REF_To_Unit,0))</f>
        <v>#N/A</v>
      </c>
      <c r="AQ16" s="31" t="e">
        <f ca="1">INDEX(Ref_Master_Unit_Table,MATCH($AH16,REF_To_Unit,0),MATCH('Reference - Lookup and Unit'!$A$11,Ref_From_Units,0))</f>
        <v>#N/A</v>
      </c>
      <c r="AR16" s="31" t="e">
        <f ca="1">INDEX(Ref_Master_Unit_Table,MATCH(IF(OR($G16="Fuel Use",$G16="Custom Fuel"),$O16,$J16),Ref_From_Units,0),MATCH($AI16,REF_To_Unit,0))</f>
        <v>#N/A</v>
      </c>
      <c r="AS16" s="31" t="e">
        <f ca="1">INDEX(Ref_Master_Unit_Table,MATCH($AK16,REF_To_Unit,0),MATCH('Reference - Lookup and Unit'!$A$11,Ref_From_Units,0))</f>
        <v>#N/A</v>
      </c>
      <c r="AT16" s="31" t="e">
        <f ca="1">INDEX(Ref_Master_Unit_Table,MATCH(IF(OR($G16="Fuel Use",$G16="Custom Fuel"),$O16,$J16),Ref_From_Units,0),MATCH($AI16,REF_To_Unit,0))</f>
        <v>#N/A</v>
      </c>
      <c r="AU16" s="31" t="e" cm="1">
        <f t="array" aca="1" ref="AU16"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16" s="31">
        <f t="shared" ca="1" si="48"/>
        <v>27.9</v>
      </c>
      <c r="AW16" s="31">
        <f t="shared" ca="1" si="49"/>
        <v>273</v>
      </c>
      <c r="AX16" s="31" t="e" cm="1">
        <f t="array" aca="1" ref="AX16"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16" s="25" t="e" cm="1">
        <f t="array" ref="AY16">_xlfn.IFS(
AND($E16&lt;&gt;"",$G16="Custom Fuel"),("Settings_Custom_Fuels"),
AND($E16&lt;&gt;"",$G16="Custom vehicle"),("Settings_Custom_Vehicle"),
AND($E16&lt;&gt;"",$G16="Fuel Use"),("Ref_DD_vehicle_FuelUse"&amp;"_"&amp;C16&amp;"_"&amp;E16),
AND($E16&lt;&gt;"",$G16="Fuel Use and Vehicle Distance"),("Ref_DD_Fuel_VehicleDistance"&amp;"_"&amp;C16&amp;"_"&amp;E16),
AND($E16&lt;&gt;"",$G16="Vehicle Distance (e.g. Road Transport)"),("Ref_DD_vehicle_VehicleDistance"&amp;"_"&amp;C16&amp;"_"&amp;E16),
AND($E16&lt;&gt;"",$G16="Weight Distance (e.g. Freight Transport)"),("Ref_DD_vehicle_WeightDistance"&amp;"_"&amp;C16&amp;"_"&amp;E16),
AND($E16&lt;&gt;"",$G16="Vehicle Distance (e.g. Public or Freight Transport)"),("Ref_DD_vehicle_DistanceS3"&amp;"_"&amp;C16),
AND($E16&lt;&gt;"",$G16="Passenger Distance (e.g. Public Transport)"),("Ref_DD_vehicle_Passenger"&amp;"_"&amp;C16&amp;"_"&amp;E16),
AND($E16="",$G16="Fuel Use"),("Ref_DD_vehicle_FuelUse"&amp;"_"&amp;C16),
AND($E16="",OR($G16="Vehicle Distance (e.g. Road Transport)",$G16="Fuel Use and Vehicle Distance")),("Ref_DD_vehicle_VehicleDistance"&amp;"_"&amp;C16),
AND($E16="",$G16="Weight Distance (e.g. Freight Transport)"),("Ref_DD_vehicle_WeightDistance"&amp;"_"&amp;C16),
AND($E16="",$G16="Vehicle Distance (e.g. Public or Freight Transport)"),("Ref_DD_vehicle_DistanceS3"&amp;"_"&amp;C16),
AND($E16="",$G16="Passenger Distance (e.g. Public Transport)"),("Ref_DD_vehicle_Passenger"&amp;"_"&amp;C16))</f>
        <v>#N/A</v>
      </c>
      <c r="AZ16" s="25" t="b">
        <f t="shared" ca="1" si="4"/>
        <v>0</v>
      </c>
      <c r="BA16" s="25" t="str">
        <f>IF(AND($F16="Scope 1",OR($G16="Fuel Use",$G16="Custom Fuel",$G16="Fuel Use and Vehicle Distance")),$R16,IF(AND($F16="Scope 1",OR($G16="Vehicle Distance (e.g. Road Transport)",$G16="Custom Vehicle"),ISBLANK($N16)=FALSE),$R16,""))</f>
        <v/>
      </c>
      <c r="BB16" s="25" t="str">
        <f>IF(AND($F16="Scope 1",AND(OR($G16="Vehicle Distance (e.g. Road Transport)",$G16="Custom Vehicle"),OR($C16="US",$C16="Other"),ISBLANK($N16)=TRUE)),$R16,IF(AND($F16="Scope 1",$G16&lt;&gt;"Fuel Use",ISBLANK($N16)=TRUE),$R16,""))</f>
        <v/>
      </c>
      <c r="BC16" s="25" t="str">
        <f>IF(AND(OR(G16="Fuel Use",G16="Custom Fuel"),F16="Scope 1",ISBLANK(I16)=TRUE),S16,"")</f>
        <v/>
      </c>
      <c r="BD16" s="25" t="str">
        <f>IF(AND(OR(G16="Fuel Use",G16="Custom Fuel"),F16="Scope 1",ISBLANK(I16)=FALSE),S16,IF(AND(G16&lt;&gt;"Fuel Use",G16&lt;&gt;"Custom Fuel",F16="Scope 1"),S16,""))</f>
        <v/>
      </c>
      <c r="BE16" s="25" t="str">
        <f>IF(AND(OR(G16="Fuel Use",G16="Custom Fuel"),F16="Scope 1",ISBLANK(I16)=TRUE),T16,"")</f>
        <v/>
      </c>
      <c r="BF16" s="25" t="str">
        <f>IF(AND(OR(G16="Fuel Use",G16="Custom Fuel"),F16="Scope 1",ISBLANK(I16)=FALSE),T16,IF(AND(G16&lt;&gt;"Fuel Use",G16&lt;&gt;"Custom Fuel",F16="Scope 1"),T16,""))</f>
        <v/>
      </c>
      <c r="BG16" s="25" t="str">
        <f>IF(AND($F16="Scope 3",OR($G16="Fuel Use",$G16="Custom Fuel",$G16="Fuel Use and Vehicle Distance")),$R16,IF(AND($F16="Scope 3",OR($G16="Vehicle Distance (e.g. Road Transport)",$G16="Custom Vehicle"),ISBLANK($N16)=FALSE),$R16,""))</f>
        <v/>
      </c>
      <c r="BH16" s="25" t="str">
        <f>IF(AND($F16="Scope 3",AND(OR($G16="Vehicle Distance (e.g. Road Transport)",$G16="Custom Vehicle",$G16="Vehicle Distance (e.g. Public or Freight)"),OR($C16="US",$C16="Other"),ISBLANK($N16)=TRUE)),$R16,IF(AND($F16="Scope 3",$G16&lt;&gt;"Fuel Use",ISBLANK($N16)=TRUE),$R16,""))</f>
        <v/>
      </c>
      <c r="BI16" s="25" t="str">
        <f>IF(AND(OR(G16="Fuel Use",G16="Custom Fuel"),F16="Scope 3",ISBLANK(I16)=TRUE),S16,"")</f>
        <v/>
      </c>
      <c r="BJ16" s="25" t="str">
        <f>IF(AND(OR(G16="Fuel Use",G16="Custom Fuel"),F16="Scope 3",ISBLANK(I16)=FALSE),S16,IF(AND(G16&lt;&gt;"Fuel Use",G16&lt;&gt;"Custom Fuel",F16="Scope 3"),S16,""))</f>
        <v/>
      </c>
      <c r="BK16" s="25" t="str">
        <f>IF(AND(OR(G16="Fuel Use",G16="Custom Fuel"),F16="Scope 3",ISBLANK(I16)=TRUE),T16,"")</f>
        <v/>
      </c>
      <c r="BL16" s="25" t="str">
        <f>IF(AND(OR(G16="Fuel Use",G16="Custom Fuel"),F16="Scope 3",ISBLANK(I16)=FALSE),T16,IF(AND(G16&lt;&gt;"Fuel Use",G16&lt;&gt;"Custom Fuel",F16="Scope 3"),T16,""))</f>
        <v/>
      </c>
      <c r="BM16" s="25" t="str">
        <f>IF(OR($G16="Fuel Use",$G16="Custom Fuel"),$V16,IF(AND(OR($G16="Vehicle Distance (e.g. Road Transport)",$G16="Custom Vehicle"),ISBLANK($N16)=FALSE),$V16,""))</f>
        <v/>
      </c>
      <c r="BN16" s="25" t="str">
        <f ca="1">IF(AND(AND(OR($G16="Vehicle Distance (e.g. Road Transport)",$G16="Custom Vehicle"),OR($C16="US",$C16="Other"),ISBLANK($N16)=TRUE)),$V16,IF(AND($G16&lt;&gt;"Fuel Use",ISBLANK($N16)=TRUE),$V16,""))</f>
        <v/>
      </c>
      <c r="BO16" s="25" t="str">
        <f t="shared" si="11"/>
        <v/>
      </c>
      <c r="BP16" s="25" t="str">
        <f t="shared" si="12"/>
        <v/>
      </c>
      <c r="BQ16" s="25" t="str">
        <f t="shared" si="13"/>
        <v/>
      </c>
      <c r="BR16" s="25" t="str">
        <f t="shared" si="14"/>
        <v/>
      </c>
      <c r="BS16" s="25" t="str">
        <f t="shared" si="15"/>
        <v/>
      </c>
      <c r="BT16" s="25" t="str">
        <f t="shared" si="16"/>
        <v/>
      </c>
      <c r="BU16" s="25" t="str">
        <f t="shared" si="17"/>
        <v/>
      </c>
      <c r="BV16" s="25" t="str">
        <f t="shared" si="18"/>
        <v/>
      </c>
      <c r="BW16" s="25" t="str">
        <f t="shared" si="19"/>
        <v/>
      </c>
      <c r="BX16" s="25" t="str">
        <f t="shared" si="20"/>
        <v/>
      </c>
      <c r="BY16" s="25" t="str">
        <f t="shared" si="21"/>
        <v/>
      </c>
      <c r="BZ16" s="25" t="str">
        <f t="shared" si="22"/>
        <v/>
      </c>
      <c r="CA16" s="25" t="str">
        <f t="shared" si="23"/>
        <v/>
      </c>
      <c r="CB16" s="25" t="str">
        <f t="shared" si="24"/>
        <v/>
      </c>
      <c r="CC16" s="25" t="str">
        <f t="shared" si="25"/>
        <v/>
      </c>
      <c r="CD16" s="25" t="str">
        <f t="shared" si="26"/>
        <v/>
      </c>
      <c r="CE16" s="25" t="str">
        <f t="shared" si="27"/>
        <v/>
      </c>
      <c r="CF16" s="25" t="str">
        <f t="shared" si="28"/>
        <v/>
      </c>
      <c r="CG16" s="25" t="str">
        <f t="shared" si="29"/>
        <v/>
      </c>
      <c r="CH16" s="25" t="str">
        <f t="shared" si="30"/>
        <v/>
      </c>
      <c r="CI16" s="25" t="str">
        <f t="shared" si="31"/>
        <v/>
      </c>
      <c r="CJ16" s="25" t="str">
        <f t="shared" si="32"/>
        <v/>
      </c>
      <c r="CK16" s="25" t="str">
        <f t="shared" si="33"/>
        <v/>
      </c>
      <c r="CL16" s="25" t="str">
        <f t="shared" si="34"/>
        <v/>
      </c>
      <c r="CM16" s="25" t="str">
        <f t="shared" si="35"/>
        <v/>
      </c>
      <c r="CN16" s="25" t="str">
        <f t="shared" si="36"/>
        <v/>
      </c>
      <c r="CO16" s="25" t="str">
        <f t="shared" si="37"/>
        <v/>
      </c>
      <c r="CP16" s="25" t="str">
        <f t="shared" si="38"/>
        <v/>
      </c>
      <c r="CQ16" s="25" t="str">
        <f t="shared" si="39"/>
        <v/>
      </c>
      <c r="CR16" s="25" t="str">
        <f t="shared" si="40"/>
        <v/>
      </c>
      <c r="CS16" s="25" t="str">
        <f t="shared" si="41"/>
        <v/>
      </c>
      <c r="CT16" s="25" t="str">
        <f t="shared" si="42"/>
        <v/>
      </c>
      <c r="CU16" s="25" t="str">
        <f t="shared" si="43"/>
        <v/>
      </c>
      <c r="CV16" s="25" t="str">
        <f t="shared" si="44"/>
        <v/>
      </c>
      <c r="CW16" s="25" t="str">
        <f t="shared" si="45"/>
        <v/>
      </c>
      <c r="CX16" s="25" t="str" cm="1">
        <f t="array" ref="CX16">_xlfn.IFNA(_xlfn.IFS(
$G16="Weight Distance (e.g. Freight Transport)","Ref_DD_WeightDistanceUnits",
$G16="Passenger Distance (e.g. Public Transport)","Ref_DD_PasengerDistanceUnits",
$G16="Vehicle Distance (e.g. Road Transport)", "Ref_DD_DistanceUnit",
$G16="Vehicle Distance (e.g. Public or Freight Transport)","Ref_DD_DistanceUnit",
$G16="Fuel Use and Vehicle Distance", "Ref_DD_DistanceUnit",
$G16="Custom Vehicle",VLOOKUP($H16,'2. Settings'!$B$39:$I$54,8,FALSE)),"")</f>
        <v/>
      </c>
      <c r="CY16" s="27" t="str">
        <f ca="1">IF(AND(ISERROR(#REF!*$AU16)=TRUE,ISERROR((S16/1000)*$AV16)=TRUE,ISERROR((T16/1000)*$AW16)=FALSE),((T16/1000)*$AW16),"")</f>
        <v/>
      </c>
      <c r="CZ16" s="27" cm="1">
        <f t="array" ref="CZ16">IFERROR(_xlfn.IFS(
AND($G16="Custom vehicle",OR($J16="Passenger Mile",$J16="Passenger Kilometer")),"Passenger Distance (e.g. Public Transport)",
AND($G16="Custom vehicle",OR($J16="Tonne Mile",$J16="Tonne Kilometer",$J16="Short Ton Kilometer",$J16="Short Ton Mile")),"Weight Distance (e.g. Freight Transport)",
AND($G16="Custom vehicle",OR($J16="Mile",$J16="Kilometer")),"Vehicle Distance (e.g. Road Transport)",
$G16&lt;&gt;"Custom vehicle",$G16),"")</f>
        <v>0</v>
      </c>
      <c r="DA16" s="27" t="str" cm="1">
        <f t="array" ref="DA16">IFERROR(_xlfn.IFS(OR(J16="Tonne Kilometer",J16="Tonne Mile",J16="Short Ton Mile",J16="Short Ton Kilometer"),I16*K16,OR(J16="Passenger Kilometer",J16="Passenger Mile"),I16*L16,OR(J16="Kilometer",J16="Mile"),$I16),"")</f>
        <v/>
      </c>
    </row>
    <row r="17" spans="2:105" x14ac:dyDescent="0.25">
      <c r="B17" s="244"/>
      <c r="C17" s="71" t="str" cm="1">
        <f t="array" ref="C17">IFERROR(_xlfn.IFS($D17="Other", D17&amp;"_" &amp;Ref_Other_to,OR($D17="UK", $D17="US"),$D17),"")</f>
        <v/>
      </c>
      <c r="D17" s="71"/>
      <c r="E17" s="71"/>
      <c r="F17" s="71"/>
      <c r="G17" s="72"/>
      <c r="H17" s="72"/>
      <c r="I17" s="73"/>
      <c r="J17" s="73"/>
      <c r="K17" s="73"/>
      <c r="L17" s="73"/>
      <c r="M17" s="74"/>
      <c r="N17" s="75"/>
      <c r="O17" s="71"/>
      <c r="P17" s="165" t="str">
        <f t="shared" ref="P17:P53" si="58">IFERROR(IF(AND(D17&lt;&gt;"US",G17="Vehicle Distance (e.g. Road Transport)"),VLOOKUP(H17,Ref_EF_Vehicle_Distance_UK,16,FALSE),""),"")</f>
        <v/>
      </c>
      <c r="Q17" s="166" t="str">
        <f t="shared" si="46"/>
        <v/>
      </c>
      <c r="R17" s="76" t="str" cm="1">
        <f t="array" aca="1" ref="R17" ca="1">IFERROR(_xlfn.IFS(
AND(AA17&gt;0, OR($G17="Fuel Use",$G17="Custom Fuel")),$N17*$AA17*$AM17*$AN17,
AND(AA17&gt;0,$CZ17="Vehicle Distance (e.g. Road Transport)"),$I17*$AA17*$AM17*$AN17,
AND(AA17&gt;0,$CZ17="Vehicle Distance (e.g. Public or Freight Transport)"),$I17*$AA17*$AM17*$AN17,
AND(AA17&gt;0,$CZ17="Fuel Use and Vehicle Distance"),$N17*$AA17*$AM17*$AN17,
AND(AA17&gt;0,$CZ17="Passenger Distance (e.g. Public Transport)"),$DA17*$AA17*$AM17*$AN17,
AND(AA17&gt;0,$CZ17="Weight Distance (e.g. Freight Transport)"),$DA17*$AA17*$AM17*$AN17),"")</f>
        <v/>
      </c>
      <c r="S17" s="77" t="str" cm="1">
        <f t="array" aca="1" ref="S17" ca="1">IFERROR(_xlfn.IFS(
AND(AG17&gt;-1, $G17="Fuel Use and Vehicle Distance"),$I17*$AG17*$AQ17*$AR17,
AND(AG17&gt;-1, $G17="Vehicle Distance (e.g. Road Transport)"),$I17*$AG17*$AQ17*$AR17,
AND(AG17&gt;-1, $CZ17="Vehicle Distance (e.g. Public or Freight Transport)"),$I17*$AG17*$AQ17*$AR17,
AND(AG17&gt;-1, OR($G17="Fuel Use",$G17="Custom Fuel")), $N17*$AG17*$AQ17*$AR17*1000,
AND(AG17&gt;-1, $G17="Custom Vehicle"),$DA17*$AG17*$AQ17*$AR17*1000,
AND(AG17&gt;-1, AND($G17&lt;&gt;"Custom Vehicle",$CZ17="Weight Distance (e.g. Freight Transport)")),$DA17*$AG17*$AQ17*$AR17*1000,
AND(AG17&gt;-1, AND($G17&lt;&gt;"Custom Vehicle",$CZ17="Passenger Distance (e.g. Public Transport)")), $DA17*$AG17*$AQ17*$AR17*1000),"")</f>
        <v/>
      </c>
      <c r="T17" s="77" t="str" cm="1">
        <f t="array" aca="1" ref="T17" ca="1">IFERROR(_xlfn.IFS(
AND(AJ17&gt;0,$G17="Fuel Use and Vehicle Distance"),$I17*$AJ17*$AS17*$AT17,
AND(AJ17&gt;0,$G17="Vehicle Distance (e.g. Road Transport)"),$I17*$AJ17*$AS17*$AT17,
AND(AJ17&gt;0,$G17="Vehicle Distance (e.g. Public or Freight Transport)"),$I17*$AJ17*$AS17*$AT17,
AND(AJ17&gt;0,OR($G17="Fuel Use",$G17="Custom Fuel")), $N17*$AJ17*$AS17*$AT17*1000,
AND(AJ17&gt;0,$G17="Custom Vehicle"),$DA17*$AJ17*$AS17*$AT17*1000,
AND(AJ17&gt;0,AND($G17&lt;&gt;"Custom Vehicle",$CZ17="Weight Distance (e.g. Freight Transport)")),$DA17*$AJ17*$AS17*$AT17*1000,
AND(AJ17&gt;0,AND($G17&lt;&gt;"Custom Vehicle",$CZ17="Passenger Distance (e.g. Public Transport)")), $DA17*$AJ17*$AS17*$AT17*1000),"")</f>
        <v/>
      </c>
      <c r="U17" s="78" t="str">
        <f t="shared" ca="1" si="47"/>
        <v/>
      </c>
      <c r="V17" s="161" t="str" cm="1">
        <f t="array" aca="1" ref="V17" ca="1">IFERROR(_xlfn.IFS(
AND(AD17&gt;0,OR($CZ17="Fuel Use",$CZ17="Custom Fuel",$CZ17="Fuel Use and Vehicle Distance")),($N17*$AD17*$AO17*$AP17),
AND(AD17&gt;0,$G17="Custom Vehicle"),$DA17*$AD17*$AO17*$AP17,
AND(AD17&gt;0,$CZ17="Vehicle Distance (e.g. Public or Freight Transport)"),$I17*$AD17*$AM17*$AN17,
AND(AD17&gt;0,$CZ17="Weight Distance (e.g. Freight Transport)"),($I17*$K17*$AD17*$AO17*$AP17),
AND(AD17&gt;0,$CZ17="Passenger Distance (e.g. Public Transport)"),$I17*$L17*$AD17*$AO17*$AP17,
AND(AD17&gt;0,$CZ17="Vehicle Distance (e.g. Road Transport)"),($I17*$AD17*$AO17*$AP17)),"")</f>
        <v/>
      </c>
      <c r="W17" s="164" t="str" cm="1">
        <f t="array" aca="1" ref="W17" ca="1">IFERROR(_xlfn.IFS(AND(ISNUMBER(R17),AA17=0),AA17&amp;" "&amp;"("&amp;AB17&amp;" CO2/"&amp;AC17&amp;")",AND(ISNUMBER(R17),AA17&gt;0),ROUND(AA17,INT(3-LOG(AA17)))&amp;" "&amp;"("&amp;AB17&amp;" CO2/"&amp;AC17&amp;")"),"")</f>
        <v/>
      </c>
      <c r="X17" s="164" t="str" cm="1">
        <f t="array" aca="1" ref="X17" ca="1">IFERROR(_xlfn.IFS(AND(ISNUMBER(S17), AG17=0),AG17&amp;" "&amp;"("&amp;AH17&amp;" CH4/"&amp;AI17&amp;")",AND(ISNUMBER(S17), AG17&gt;0),ROUND(AG17,INT(3-LOG(AG17)))&amp;" "&amp;"("&amp;AH17&amp;" CH4/"&amp;AI17&amp;")"),"")</f>
        <v/>
      </c>
      <c r="Y17" s="164" t="str" cm="1">
        <f t="array" aca="1" ref="Y17" ca="1">IFERROR(_xlfn.IFS(AND(ISNUMBER(T17), AJ17=0),AJ17&amp;" "&amp;"("&amp;AK17&amp;" CH4/"&amp;AL17&amp;")",AND(ISNUMBER(T17), AJ17&gt;0),ROUND(AJ17,INT(3-LOG(AJ17)))&amp;" "&amp;"("&amp;AK17&amp;" N2O/"&amp;AL17&amp;")"),"")</f>
        <v/>
      </c>
      <c r="Z17" s="245" t="str" cm="1">
        <f t="array" aca="1" ref="Z17" ca="1">IFERROR(_xlfn.IFS(AND(ISNUMBER(V17),AD17=0),AD17&amp;" "&amp;"("&amp;AE17&amp;" CO2/"&amp;AF17&amp;")",AND(ISNUMBER(V17),AD17&gt;0),ROUND(AD17,INT(3-LOG(AD17)))&amp;" "&amp;"("&amp;AE17&amp;" CO2/"&amp;AF17&amp;")"),"")</f>
        <v/>
      </c>
      <c r="AA17" s="240" t="str" cm="1">
        <f t="array" aca="1" ref="AA17" ca="1">IFERROR(_xlfn.IFS(
OR($G17="Fuel Use",$G17="Fuel Use and Vehicle Distance"),VLOOKUP($M17,INDIRECT("Ref_EF_ByFuel"&amp;"_"&amp;$C17),3,0),
$G17="Vehicle Distance (e.g. Road Transport)",VLOOKUP($H17,INDIRECT("Ref_EF_Vehicle_Distance"&amp;"_"&amp;$C17),3,0),
$G17="Vehicle Distance (e.g. Public or Freight Transport)",VLOOKUP($H17,INDIRECT("Ref_EF_Vehicle_Distance_S3"&amp;"_"&amp;$C17),3,0),
$G17="Custom Vehicle",VLOOKUP($H17,Tbl_vehical_Settings,2,0),
$G17="Custom Fuel",VLOOKUP($M17,Tbl_Fuel_Settings,2,0),
$G17="Weight Distance (e.g. Freight Transport)",VLOOKUP($H17,INDIRECT("Ref_EF_Weight_Distance"&amp;"_"&amp;$C17),3,0),
$G17="Passenger Distance (e.g. Public Transport)",VLOOKUP($H17,INDIRECT("Ref_EF_Public_Transport"&amp;"_"&amp;$C17),3,0)),"")</f>
        <v/>
      </c>
      <c r="AB17" s="31" t="str" cm="1">
        <f t="array" aca="1" ref="AB17" ca="1">IFERROR(_xlfn.IFS(
OR($G17="Fuel Use",$G17="Fuel Use and Vehicle Distance"),VLOOKUP($M17,INDIRECT("Ref_EF_ByFuel"&amp;"_"&amp;$C17),5,0),
$G17="Vehicle Distance (e.g. Road Transport)",VLOOKUP($H17,INDIRECT("Ref_EF_Vehicle_Distance"&amp;"_"&amp;$C17),5,0),
$G17="Vehicle Distance (e.g. Public or Freight Transport)",VLOOKUP($H17,INDIRECT("Ref_EF_Vehicle_Distance_S3"&amp;"_"&amp;$C17),5,0),
$G17="Custom Vehicle",VLOOKUP($H17,Tbl_vehical_Settings,6,0),
$G17="Custom Fuel",VLOOKUP($M17,Tbl_Fuel_Settings,6,0),
$G17="Weight Distance (e.g. Freight Transport)",VLOOKUP($H17,INDIRECT("Ref_EF_Weight_Distance"&amp;"_"&amp;$C17),5,0),
$G17="Passenger Distance (e.g. Public Transport)",VLOOKUP($H17,INDIRECT("Ref_EF_Public_Transport"&amp;"_"&amp;$C17),5,0)),"")</f>
        <v/>
      </c>
      <c r="AC17" s="31" t="str" cm="1">
        <f t="array" aca="1" ref="AC17" ca="1">IFERROR(_xlfn.IFS(
OR($G17="Fuel Use",$G17="Fuel Use and Vehicle Distance"),VLOOKUP($M17,INDIRECT("Ref_EF_ByFuel"&amp;"_"&amp;$C17),6,0),
$G17="Vehicle Distance (e.g. Road Transport)",VLOOKUP($H17,INDIRECT("Ref_EF_Vehicle_Distance"&amp;"_"&amp;$C17),6,0),
$G17="Vehicle Distance (e.g. Public or Freight Transport)",VLOOKUP($H17,INDIRECT("Ref_EF_Vehicle_Distance_S3"&amp;"_"&amp;$C17),6,0),
$G17="Custom Vehicle",VLOOKUP($H17,Tbl_vehical_Settings,7,0),
$G17="Custom Fuel",VLOOKUP($M17,Tbl_Fuel_Settings,7,0),
$G17="Weight Distance (e.g. Freight Transport)",VLOOKUP($H17,INDIRECT("Ref_EF_Weight_Distance"&amp;"_"&amp;$C17),6,0),
$G17="Passenger Distance (e.g. Public Transport)",VLOOKUP($H17,INDIRECT("Ref_EF_Public_Transport"&amp;"_"&amp;$C17),6,0)),"")</f>
        <v/>
      </c>
      <c r="AD17" s="31" t="str" cm="1">
        <f t="array" aca="1" ref="AD17" ca="1">IFERROR(_xlfn.IFS(
OR($G17="Fuel Use",$G17="Fuel Use and Vehicle Distance"),VLOOKUP($M17,INDIRECT("Ref_EF_ByFuel"&amp;"_"&amp;$C17),4,0),
$G17="Vehicle Distance (e.g. Road Transport)",VLOOKUP($H17,INDIRECT("Ref_EF_Vehicle_Distance"&amp;"_"&amp;$C17),4,0),
$G17="Vehicle Distance (e.g. Public or Freight Transport)",VLOOKUP($H17,INDIRECT("Ref_EF_Vehicle_Distance_S3"&amp;"_"&amp;$C17),4,0),
$G17="Custom Vehicle",VLOOKUP($H17,Tbl_vehical_Settings,5,0),
$G17="Custom Fuel",VLOOKUP($M17,Tbl_Fuel_Settings,5,0),
$G17="Weight Distance (e.g. Freight Transport)",VLOOKUP($H17,INDIRECT("Ref_EF_Weight_Distance"&amp;"_"&amp;$C17),4,0),
$G17="Passenger Distance (e.g. Public Transport)",VLOOKUP($H17,INDIRECT("Ref_EF_Public_Transport"&amp;"_"&amp;$C17),4,0)),"")</f>
        <v/>
      </c>
      <c r="AE17" s="31" t="str" cm="1">
        <f t="array" aca="1" ref="AE17" ca="1">IFERROR(_xlfn.IFS(
OR($G17="Fuel Use",$G17="Fuel Use and Vehicle Distance"),VLOOKUP($M17,INDIRECT("Ref_EF_ByFuel"&amp;"_"&amp;$C17),5,0),
$G17="Vehicle Distance (e.g. Road Transport)",VLOOKUP($H17,INDIRECT("Ref_EF_Vehicle_Distance"&amp;"_"&amp;$C17),5,0),
$G17="Vehicle Distance (e.g. Public or Freight Transport)",VLOOKUP($H17,INDIRECT("Ref_EF_Vehicle_Distance_S3"&amp;"_"&amp;$C17),5,0),
$G17="Custom Vehicle",VLOOKUP($H17,Tbl_vehical_Settings,6,0),
$G17="Custom Fuel",VLOOKUP($M17,Tbl_Fuel_Settings,6,0),
$G17="Weight Distance (e.g. Freight Transport)",VLOOKUP($H17,INDIRECT("Ref_EF_Weight_Distance"&amp;"_"&amp;$C17),5,0),
$G17="Passenger Distance (e.g. Public Transport)",VLOOKUP($H17,INDIRECT("Ref_EF_Public_Transport"&amp;"_"&amp;$C17),5,0)),"")</f>
        <v/>
      </c>
      <c r="AF17" s="31" t="str" cm="1">
        <f t="array" aca="1" ref="AF17" ca="1">IFERROR(_xlfn.IFS(
OR($G17="Fuel Use",$G17="Fuel Use and Vehicle Distance"),VLOOKUP($M17,INDIRECT("Ref_EF_ByFuel"&amp;"_"&amp;$C17),6,0),
$G17="Vehicle Distance (e.g. Road Transport)",VLOOKUP($H17,INDIRECT("Ref_EF_Vehicle_Distance"&amp;"_"&amp;$C17),6,0),
$G17="Vehicle Distance (e.g. Public or Freight Transport)",VLOOKUP($H17,INDIRECT("Ref_EF_Vehicle_Distance_S3"&amp;"_"&amp;$C17),6,0),
$G17="Custom Vehicle",VLOOKUP($H17,Tbl_vehical_Settings,7,0),
$G17="Custom Fuel",VLOOKUP($M17,Tbl_Fuel_Settings,7,0),
$G17="Weight Distance (e.g. Freight Transport)",VLOOKUP($H17,INDIRECT("Ref_EF_Weight_Distance"&amp;"_"&amp;$C17),6,0),
$G17="Passenger Distance (e.g. Public Transport)",VLOOKUP($H17,INDIRECT("Ref_EF_Public_Transport"&amp;"_"&amp;$C17),6,0)),"")</f>
        <v/>
      </c>
      <c r="AG17" s="31" t="str" cm="1">
        <f t="array" aca="1" ref="AG17" ca="1">IFERROR(_xlfn.IFS(
AND($G17="Fuel Use",$E17&lt;&gt;"Road"),VLOOKUP($H17,INDIRECT("Ref_EF_ByFuel_CH4"&amp;"_"&amp;$C17),3,0),
$G17="Vehicle Distance (e.g. Road Transport)",VLOOKUP($H17,INDIRECT("Ref_EF_Vehicle_Distance"&amp;"_"&amp;$C17),7,0),
$G17="Vehicle Distance (e.g. Public or Freight Transport)",VLOOKUP($H17,INDIRECT("Ref_EF_Vehicle_Distance_S3"&amp;"_"&amp;$C17),7,0),
$G17="Fuel Use and Vehicle Distance",VLOOKUP($H17,INDIRECT("Ref_EF_Fuel_Vehicle_Distance"&amp;"_"&amp;$C17),3,0),
$G17="Custom Vehicle",VLOOKUP($H17,Tbl_vehical_Settings,3,0),
$G17="Custom Fuel",VLOOKUP($M17,Tbl_Fuel_Settings,3,0),
$G17="Weight Distance (e.g. Freight Transport)",VLOOKUP($H17,INDIRECT("Ref_EF_Weight_Distance_CH4"&amp;"_"&amp;$C17),3,0),
$G17="Passenger Distance (e.g. Public Transport)",VLOOKUP($H17,INDIRECT("Ref_EF_Public_Transport_CH4"&amp;"_"&amp;$C17),7,0)),"")</f>
        <v/>
      </c>
      <c r="AH17" s="31" t="str" cm="1">
        <f t="array" aca="1" ref="AH17" ca="1">IFERROR(_xlfn.IFS(
AND($G17="Fuel Use",$E17&lt;&gt;"Road"),VLOOKUP($H17,INDIRECT("Ref_EF_ByFuel_CH4"&amp;"_"&amp;$C17),4,0),
$G17="Vehicle Distance (e.g. Road Transport)",VLOOKUP($H17,INDIRECT("Ref_EF_Vehicle_Distance"&amp;"_"&amp;$C17),8,0),
$G17="Vehicle Distance (e.g. Public or Freight Transport)",VLOOKUP($H17,INDIRECT("Ref_EF_Vehicle_Distance_S3"&amp;"_"&amp;$C17),8,0),
$G17="Fuel Use and Vehicle Distance",VLOOKUP($H17,INDIRECT("Ref_EF_Fuel_Vehicle_Distance"&amp;"_"&amp;$C17),4,0),
$G17="Custom Vehicle",VLOOKUP($H17,Tbl_vehical_Settings,6,0),
$G17="Custom Fuel",VLOOKUP($M17,Tbl_Fuel_Settings,6,0),
$G17="Weight Distance (e.g. Freight Transport)",VLOOKUP($H17,INDIRECT("Ref_EF_Weight_Distance_CH4"&amp;"_"&amp;$C17),4,0),
$G17="Passenger Distance (e.g. Public Transport)",VLOOKUP($H17,INDIRECT("Ref_EF_Public_Transport_CH4"&amp;"_"&amp;$C17),8,0)),"")</f>
        <v/>
      </c>
      <c r="AI17" s="31" t="str" cm="1">
        <f t="array" aca="1" ref="AI17" ca="1">IFERROR(_xlfn.IFS(
AND($G17="Fuel Use",$E17&lt;&gt;"Road"),VLOOKUP($H17,INDIRECT("Ref_EF_ByFuel_CH4"&amp;"_"&amp;$C17),5,0),
$G17="Vehicle Distance (e.g. Road Transport)",VLOOKUP($H17,INDIRECT("Ref_EF_Vehicle_Distance"&amp;"_"&amp;$C17),9,0),
$G17="Vehicle Distance (e.g. Public or Freight Transport)",VLOOKUP($H17,INDIRECT("Ref_EF_Vehicle_Distance_S3"&amp;"_"&amp;$C17),9,0),
$G17="Fuel Use and Vehicle Distance",VLOOKUP($H17,INDIRECT("Ref_EF_Fuel_Vehicle_Distance"&amp;"_"&amp;$C17),5,0),
$G17="Custom Vehicle",VLOOKUP($H17,Tbl_vehical_Settings,7,0),
$G17="Custom Fuel",VLOOKUP($M17,Tbl_Fuel_Settings,7,0),
$G17="Weight Distance (e.g. Freight Transport)",VLOOKUP($H17,INDIRECT("Ref_EF_Weight_Distance_CH4"&amp;"_"&amp;$C17),5,0),
$G17="Passenger Distance (e.g. Public Transport)",VLOOKUP($H17,INDIRECT("Ref_EF_Public_Transport_CH4"&amp;"_"&amp;$C17),9,0)),"")</f>
        <v/>
      </c>
      <c r="AJ17" s="31" t="str" cm="1">
        <f t="array" aca="1" ref="AJ17" ca="1">IFERROR(_xlfn.IFS(
AND($G17="Fuel Use",$E17&lt;&gt;"Road"),VLOOKUP($H17,INDIRECT("Ref_EF_ByFuel_CH4"&amp;"_"&amp;$C17),6,0),
$G17="Vehicle Distance (e.g. Road Transport)",VLOOKUP($H17,INDIRECT("Ref_EF_Vehicle_Distance"&amp;"_"&amp;$C17),10,0),
$G17="Vehicle Distance (e.g. Public or Freight Transport)",VLOOKUP($H17,INDIRECT("Ref_EF_Vehicle_Distance_S3"&amp;"_"&amp;$C17),10,0),
$G17="Fuel Use and Vehicle Distance",VLOOKUP($H17,INDIRECT("Ref_EF_Fuel_Vehicle_Distance"&amp;"_"&amp;$C17),6,0),
$G17="Custom Vehicle",VLOOKUP($H17,Tbl_vehical_Settings,4,0),
$G17="Custom Fuel",VLOOKUP($M17,Tbl_Fuel_Settings,4,0),
$G17="Weight Distance (e.g. Freight Transport)",VLOOKUP($H17,INDIRECT("Ref_EF_Weight_Distance_CH4"&amp;"_"&amp;$C17),6,0),
$G17="Passenger Distance (e.g. Public Transport)",VLOOKUP($H17,INDIRECT("Ref_EF_Public_Transport_CH4"&amp;"_"&amp;$C17),10,0)),"")</f>
        <v/>
      </c>
      <c r="AK17" s="31" t="str" cm="1">
        <f t="array" aca="1" ref="AK17" ca="1">IFERROR(_xlfn.IFS(
AND($G17="Fuel Use",$E17&lt;&gt;"Road"),VLOOKUP($H17,INDIRECT("Ref_EF_ByFuel_CH4"&amp;"_"&amp;$C17),7,0),
$G17="Vehicle Distance (e.g. Road Transport)",VLOOKUP($H17,INDIRECT("Ref_EF_Vehicle_Distance"&amp;"_"&amp;$C17),11,0),
$G17="Vehicle Distance (e.g. Public or Freight Transport)",VLOOKUP($H17,INDIRECT("Ref_EF_Vehicle_Distance_S3"&amp;"_"&amp;$C17),11,0),
$G17="Fuel Use and Vehicle Distance",VLOOKUP($H17,INDIRECT("Ref_EF_Fuel_Vehicle_Distance"&amp;"_"&amp;$C17),7,0),
$G17="Custom Vehicle",VLOOKUP($H17,Tbl_vehical_Settings,6,0),
$G17="Custom Fuel",VLOOKUP($M17,Tbl_Fuel_Settings,6,0),
$G17="Weight Distance (e.g. Freight Transport)",VLOOKUP($H17,INDIRECT("Ref_EF_Weight_Distance_CH4"&amp;"_"&amp;$C17),7,0),
$G17="Passenger Distance (e.g. Public Transport)",VLOOKUP($H17,INDIRECT("Ref_EF_Public_Transport_CH4"&amp;"_"&amp;$C17),11,0)),"")</f>
        <v/>
      </c>
      <c r="AL17" s="31" t="str" cm="1">
        <f t="array" aca="1" ref="AL17" ca="1">IFERROR(_xlfn.IFS(
AND($G17="Fuel Use",$E17&lt;&gt;"Road"),VLOOKUP($H17,INDIRECT("Ref_EF_ByFuel_CH4"&amp;"_"&amp;$C17),8,0),
$G17="Vehicle Distance (e.g. Road Transport)",VLOOKUP($H17,INDIRECT("Ref_EF_Vehicle_Distance"&amp;"_"&amp;$C17),12,0),
$G17="Vehicle Distance (e.g. Public or Freight Transport)",VLOOKUP($H17,INDIRECT("Ref_EF_Vehicle_Distance_S3"&amp;"_"&amp;$C17),12,0),
$G17="Fuel Use and Vehicle Distance",VLOOKUP($H17,INDIRECT("Ref_EF_Fuel_Vehicle_Distance"&amp;"_"&amp;$C17),8,0),
$G17="Custom Vehicle",VLOOKUP($H17,Tbl_vehical_Settings,7,0),
$G17="Custom Fuel",VLOOKUP($M17,Tbl_Fuel_Settings,7,0),
$G17="Weight Distance (e.g. Freight Transport)",VLOOKUP($H17,INDIRECT("Ref_EF_Weight_Distance_CH4"&amp;"_"&amp;$C17),8,0),
$G17="Passenger Distance (e.g. Public Transport)",VLOOKUP($H17,INDIRECT("Ref_EF_Public_Transport_CH4"&amp;"_"&amp;$C17),12,0)),"")</f>
        <v/>
      </c>
      <c r="AM17" s="31" t="e">
        <f ca="1">INDEX(Ref_Master_Unit_Table,MATCH($AB17,REF_To_Unit,0),MATCH('Reference - Lookup and Unit'!$A$11,Ref_From_Units,0))</f>
        <v>#N/A</v>
      </c>
      <c r="AN17" s="31" t="e">
        <f ca="1">INDEX(Ref_Master_Unit_Table,MATCH(IF(AND($C17="UK",$G17="Vehicle Distance (e.g. Road Transport)"),$J17,IF(ISBLANK($O17),$J17,$O17)),Ref_From_Units,0),MATCH($AC17,REF_To_Unit,0))</f>
        <v>#N/A</v>
      </c>
      <c r="AO17" s="31" t="e">
        <f ca="1">INDEX(Ref_Master_Unit_Table,MATCH($AE17,REF_To_Unit,0),MATCH('Reference - Lookup and Unit'!$A$11,Ref_From_Units,0))</f>
        <v>#N/A</v>
      </c>
      <c r="AP17" s="31" t="e">
        <f t="shared" ca="1" si="1"/>
        <v>#N/A</v>
      </c>
      <c r="AQ17" s="31" t="e">
        <f ca="1">INDEX(Ref_Master_Unit_Table,MATCH($AH17,REF_To_Unit,0),MATCH('Reference - Lookup and Unit'!$A$11,Ref_From_Units,0))</f>
        <v>#N/A</v>
      </c>
      <c r="AR17" s="31" t="e">
        <f t="shared" ca="1" si="2"/>
        <v>#N/A</v>
      </c>
      <c r="AS17" s="31" t="e">
        <f ca="1">INDEX(Ref_Master_Unit_Table,MATCH($AK17,REF_To_Unit,0),MATCH('Reference - Lookup and Unit'!$A$11,Ref_From_Units,0))</f>
        <v>#N/A</v>
      </c>
      <c r="AT17" s="31" t="e">
        <f t="shared" ca="1" si="3"/>
        <v>#N/A</v>
      </c>
      <c r="AU17" s="31" t="e" cm="1">
        <f t="array" aca="1" ref="AU17"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17" s="31">
        <f t="shared" ca="1" si="48"/>
        <v>27.9</v>
      </c>
      <c r="AW17" s="31">
        <f t="shared" ca="1" si="49"/>
        <v>273</v>
      </c>
      <c r="AX17" s="31" t="e" cm="1">
        <f t="array" aca="1" ref="AX17"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17" s="25" t="e" cm="1">
        <f t="array" ref="AY17">_xlfn.IFS(
AND($E17&lt;&gt;"",$G17="Custom Fuel"),("Settings_Custom_Fuels"),
AND($E17&lt;&gt;"",$G17="Custom vehicle"),("Settings_Custom_Vehicle"),
AND($E17&lt;&gt;"",$G17="Fuel Use"),("Ref_DD_vehicle_FuelUse"&amp;"_"&amp;C17&amp;"_"&amp;E17),
AND($E17&lt;&gt;"",$G17="Fuel Use and Vehicle Distance"),("Ref_DD_Fuel_VehicleDistance"&amp;"_"&amp;C17&amp;"_"&amp;E17),
AND($E17&lt;&gt;"",$G17="Vehicle Distance (e.g. Road Transport)"),("Ref_DD_vehicle_VehicleDistance"&amp;"_"&amp;C17&amp;"_"&amp;E17),
AND($E17&lt;&gt;"",$G17="Weight Distance (e.g. Freight Transport)"),("Ref_DD_vehicle_WeightDistance"&amp;"_"&amp;C17&amp;"_"&amp;E17),
AND($E17&lt;&gt;"",$G17="Vehicle Distance (e.g. Public or Freight Transport)"),("Ref_DD_vehicle_DistanceS3"&amp;"_"&amp;C17),
AND($E17&lt;&gt;"",$G17="Passenger Distance (e.g. Public Transport)"),("Ref_DD_vehicle_Passenger"&amp;"_"&amp;C17&amp;"_"&amp;E17),
AND($E17="",$G17="Fuel Use"),("Ref_DD_vehicle_FuelUse"&amp;"_"&amp;C17),
AND($E17="",OR($G17="Vehicle Distance (e.g. Road Transport)",$G17="Fuel Use and Vehicle Distance")),("Ref_DD_vehicle_VehicleDistance"&amp;"_"&amp;C17),
AND($E17="",$G17="Weight Distance (e.g. Freight Transport)"),("Ref_DD_vehicle_WeightDistance"&amp;"_"&amp;C17),
AND($E17="",$G17="Vehicle Distance (e.g. Public or Freight Transport)"),("Ref_DD_vehicle_DistanceS3"&amp;"_"&amp;C17),
AND($E17="",$G17="Passenger Distance (e.g. Public Transport)"),("Ref_DD_vehicle_Passenger"&amp;"_"&amp;C17))</f>
        <v>#N/A</v>
      </c>
      <c r="AZ17" s="25" t="b">
        <f t="shared" ca="1" si="4"/>
        <v>0</v>
      </c>
      <c r="BA17" s="25" t="str">
        <f t="shared" si="5"/>
        <v/>
      </c>
      <c r="BB17" s="25" t="str">
        <f t="shared" si="6"/>
        <v/>
      </c>
      <c r="BC17" s="25" t="str">
        <f t="shared" si="50"/>
        <v/>
      </c>
      <c r="BD17" s="25" t="str">
        <f t="shared" si="51"/>
        <v/>
      </c>
      <c r="BE17" s="25" t="str">
        <f t="shared" si="52"/>
        <v/>
      </c>
      <c r="BF17" s="25" t="str">
        <f t="shared" si="53"/>
        <v/>
      </c>
      <c r="BG17" s="25" t="str">
        <f t="shared" si="7"/>
        <v/>
      </c>
      <c r="BH17" s="25" t="str">
        <f t="shared" si="8"/>
        <v/>
      </c>
      <c r="BI17" s="25" t="str">
        <f t="shared" si="54"/>
        <v/>
      </c>
      <c r="BJ17" s="25" t="str">
        <f t="shared" si="55"/>
        <v/>
      </c>
      <c r="BK17" s="25" t="str">
        <f t="shared" si="56"/>
        <v/>
      </c>
      <c r="BL17" s="25" t="str">
        <f t="shared" si="57"/>
        <v/>
      </c>
      <c r="BM17" s="25" t="str">
        <f t="shared" si="9"/>
        <v/>
      </c>
      <c r="BN17" s="25" t="str">
        <f t="shared" ca="1" si="10"/>
        <v/>
      </c>
      <c r="BO17" s="25" t="str">
        <f t="shared" si="11"/>
        <v/>
      </c>
      <c r="BP17" s="25" t="str">
        <f t="shared" si="12"/>
        <v/>
      </c>
      <c r="BQ17" s="25" t="str">
        <f t="shared" si="13"/>
        <v/>
      </c>
      <c r="BR17" s="25" t="str">
        <f t="shared" si="14"/>
        <v/>
      </c>
      <c r="BS17" s="25" t="str">
        <f t="shared" si="15"/>
        <v/>
      </c>
      <c r="BT17" s="25" t="str">
        <f t="shared" si="16"/>
        <v/>
      </c>
      <c r="BU17" s="25" t="str">
        <f t="shared" si="17"/>
        <v/>
      </c>
      <c r="BV17" s="25" t="str">
        <f t="shared" si="18"/>
        <v/>
      </c>
      <c r="BW17" s="25" t="str">
        <f t="shared" si="19"/>
        <v/>
      </c>
      <c r="BX17" s="25" t="str">
        <f t="shared" si="20"/>
        <v/>
      </c>
      <c r="BY17" s="25" t="str">
        <f t="shared" si="21"/>
        <v/>
      </c>
      <c r="BZ17" s="25" t="str">
        <f t="shared" si="22"/>
        <v/>
      </c>
      <c r="CA17" s="25" t="str">
        <f t="shared" si="23"/>
        <v/>
      </c>
      <c r="CB17" s="25" t="str">
        <f t="shared" si="24"/>
        <v/>
      </c>
      <c r="CC17" s="25" t="str">
        <f t="shared" si="25"/>
        <v/>
      </c>
      <c r="CD17" s="25" t="str">
        <f t="shared" si="26"/>
        <v/>
      </c>
      <c r="CE17" s="25" t="str">
        <f t="shared" si="27"/>
        <v/>
      </c>
      <c r="CF17" s="25" t="str">
        <f t="shared" si="28"/>
        <v/>
      </c>
      <c r="CG17" s="25" t="str">
        <f t="shared" si="29"/>
        <v/>
      </c>
      <c r="CH17" s="25" t="str">
        <f t="shared" si="30"/>
        <v/>
      </c>
      <c r="CI17" s="25" t="str">
        <f t="shared" si="31"/>
        <v/>
      </c>
      <c r="CJ17" s="25" t="str">
        <f t="shared" si="32"/>
        <v/>
      </c>
      <c r="CK17" s="25" t="str">
        <f t="shared" si="33"/>
        <v/>
      </c>
      <c r="CL17" s="25" t="str">
        <f t="shared" si="34"/>
        <v/>
      </c>
      <c r="CM17" s="25" t="str">
        <f t="shared" si="35"/>
        <v/>
      </c>
      <c r="CN17" s="25" t="str">
        <f t="shared" si="36"/>
        <v/>
      </c>
      <c r="CO17" s="25" t="str">
        <f t="shared" si="37"/>
        <v/>
      </c>
      <c r="CP17" s="25" t="str">
        <f t="shared" si="38"/>
        <v/>
      </c>
      <c r="CQ17" s="25" t="str">
        <f t="shared" si="39"/>
        <v/>
      </c>
      <c r="CR17" s="25" t="str">
        <f t="shared" si="40"/>
        <v/>
      </c>
      <c r="CS17" s="25" t="str">
        <f t="shared" si="41"/>
        <v/>
      </c>
      <c r="CT17" s="25" t="str">
        <f t="shared" si="42"/>
        <v/>
      </c>
      <c r="CU17" s="25" t="str">
        <f t="shared" si="43"/>
        <v/>
      </c>
      <c r="CV17" s="25" t="str">
        <f t="shared" si="44"/>
        <v/>
      </c>
      <c r="CW17" s="25" t="str">
        <f t="shared" si="45"/>
        <v/>
      </c>
      <c r="CX17" s="25" t="str" cm="1">
        <f t="array" ref="CX17">_xlfn.IFNA(_xlfn.IFS(
$G17="Weight Distance (e.g. Freight Transport)","Ref_DD_WeightDistanceUnits",
$G17="Passenger Distance (e.g. Public Transport)","Ref_DD_PasengerDistanceUnits",
$G17="Vehicle Distance (e.g. Road Transport)", "Ref_DD_DistanceUnit",
$G17="Vehicle Distance (e.g. Public or Freight Transport)","Ref_DD_DistanceUnit",
$G17="Fuel Use and Vehicle Distance", "Ref_DD_DistanceUnit",
$G17="Custom Vehicle",VLOOKUP($H17,'2. Settings'!$B$39:$I$54,8,FALSE)),"")</f>
        <v/>
      </c>
      <c r="CY17" s="27" t="str">
        <f ca="1">IF(AND(ISERROR(#REF!*$AU17)=TRUE,ISERROR((S17/1000)*$AV17)=TRUE,ISERROR((T17/1000)*$AW17)=FALSE),((T17/1000)*$AW17),"")</f>
        <v/>
      </c>
      <c r="CZ17" s="27" cm="1">
        <f t="array" ref="CZ17">IFERROR(_xlfn.IFS(
AND($G17="Custom vehicle",OR($J17="Passenger Mile",$J17="Passenger Kilometer")),"Passenger Distance (e.g. Public Transport)",
AND($G17="Custom vehicle",OR($J17="Tonne Mile",$J17="Tonne Kilometer",$J17="Short Ton Kilometer",$J17="Short Ton Mile")),"Weight Distance (e.g. Freight Transport)",
AND($G17="Custom vehicle",OR($J17="Mile",$J17="Kilometer")),"Vehicle Distance (e.g. Road Transport)",
$G17&lt;&gt;"Custom vehicle",$G17),"")</f>
        <v>0</v>
      </c>
      <c r="DA17" s="27" t="str" cm="1">
        <f t="array" ref="DA17">IFERROR(_xlfn.IFS(OR(J17="Tonne Kilometer",J17="Tonne Mile",J17="Short Ton Mile",J17="Short Ton Kilometer"),I17*K17,OR(J17="Passenger Kilometer",J17="Passenger Mile"),I17*L17,OR(J17="Kilometer",J17="Mile"),$I17),"")</f>
        <v/>
      </c>
    </row>
    <row r="18" spans="2:105" x14ac:dyDescent="0.25">
      <c r="B18" s="244"/>
      <c r="C18" s="71" t="str" cm="1">
        <f t="array" ref="C18">IFERROR(_xlfn.IFS($D18="Other", D18&amp;"_" &amp;Ref_Other_to,OR($D18="UK", $D18="US"),$D18),"")</f>
        <v/>
      </c>
      <c r="D18" s="71"/>
      <c r="E18" s="71"/>
      <c r="F18" s="71"/>
      <c r="G18" s="72"/>
      <c r="H18" s="72"/>
      <c r="I18" s="73"/>
      <c r="J18" s="73"/>
      <c r="K18" s="73"/>
      <c r="L18" s="73"/>
      <c r="M18" s="74"/>
      <c r="N18" s="75"/>
      <c r="O18" s="71"/>
      <c r="P18" s="165" t="str">
        <f t="shared" si="58"/>
        <v/>
      </c>
      <c r="Q18" s="166" t="str">
        <f t="shared" si="46"/>
        <v/>
      </c>
      <c r="R18" s="76" t="str" cm="1">
        <f t="array" aca="1" ref="R18" ca="1">IFERROR(_xlfn.IFS(
AND(AA18&gt;0, OR($G18="Fuel Use",$G18="Custom Fuel")),$N18*$AA18*$AM18*$AN18,
AND(AA18&gt;0,$CZ18="Vehicle Distance (e.g. Road Transport)"),$I18*$AA18*$AM18*$AN18,
AND(AA18&gt;0,$CZ18="Vehicle Distance (e.g. Public or Freight Transport)"),$I18*$AA18*$AM18*$AN18,
AND(AA18&gt;0,$CZ18="Fuel Use and Vehicle Distance"),$N18*$AA18*$AM18*$AN18,
AND(AA18&gt;0,$CZ18="Passenger Distance (e.g. Public Transport)"),$DA18*$AA18*$AM18*$AN18,
AND(AA18&gt;0,$CZ18="Weight Distance (e.g. Freight Transport)"),$DA18*$AA18*$AM18*$AN18),"")</f>
        <v/>
      </c>
      <c r="S18" s="77" t="str" cm="1">
        <f t="array" aca="1" ref="S18" ca="1">IFERROR(_xlfn.IFS(
AND(AG18&gt;-1, $G18="Fuel Use and Vehicle Distance"),$I18*$AG18*$AQ18*$AR18,
AND(AG18&gt;-1, $G18="Vehicle Distance (e.g. Road Transport)"),$I18*$AG18*$AQ18*$AR18,
AND(AG18&gt;-1, $CZ18="Vehicle Distance (e.g. Public or Freight Transport)"),$I18*$AG18*$AQ18*$AR18,
AND(AG18&gt;-1, OR($G18="Fuel Use",$G18="Custom Fuel")), $N18*$AG18*$AQ18*$AR18*1000,
AND(AG18&gt;-1, $G18="Custom Vehicle"),$DA18*$AG18*$AQ18*$AR18*1000,
AND(AG18&gt;-1, AND($G18&lt;&gt;"Custom Vehicle",$CZ18="Weight Distance (e.g. Freight Transport)")),$DA18*$AG18*$AQ18*$AR18*1000,
AND(AG18&gt;-1, AND($G18&lt;&gt;"Custom Vehicle",$CZ18="Passenger Distance (e.g. Public Transport)")), $DA18*$AG18*$AQ18*$AR18*1000),"")</f>
        <v/>
      </c>
      <c r="T18" s="77" t="str" cm="1">
        <f t="array" aca="1" ref="T18" ca="1">IFERROR(_xlfn.IFS(
AND(AJ18&gt;0,$G18="Fuel Use and Vehicle Distance"),$I18*$AJ18*$AS18*$AT18,
AND(AJ18&gt;0,$G18="Vehicle Distance (e.g. Road Transport)"),$I18*$AJ18*$AS18*$AT18,
AND(AJ18&gt;0,$G18="Vehicle Distance (e.g. Public or Freight Transport)"),$I18*$AJ18*$AS18*$AT18,
AND(AJ18&gt;0,OR($G18="Fuel Use",$G18="Custom Fuel")), $N18*$AJ18*$AS18*$AT18*1000,
AND(AJ18&gt;0,$G18="Custom Vehicle"),$DA18*$AJ18*$AS18*$AT18*1000,
AND(AJ18&gt;0,AND($G18&lt;&gt;"Custom Vehicle",$CZ18="Weight Distance (e.g. Freight Transport)")),$DA18*$AJ18*$AS18*$AT18*1000,
AND(AJ18&gt;0,AND($G18&lt;&gt;"Custom Vehicle",$CZ18="Passenger Distance (e.g. Public Transport)")), $DA18*$AJ18*$AS18*$AT18*1000),"")</f>
        <v/>
      </c>
      <c r="U18" s="78" t="str">
        <f t="shared" ca="1" si="47"/>
        <v/>
      </c>
      <c r="V18" s="161" t="str" cm="1">
        <f t="array" aca="1" ref="V18" ca="1">IFERROR(_xlfn.IFS(
AND(AD18&gt;0,OR($CZ18="Fuel Use",$CZ18="Custom Fuel",$CZ18="Fuel Use and Vehicle Distance")),($N18*$AD18*$AO18*$AP18),
AND(AD18&gt;0,$G18="Custom Vehicle"),$DA18*$AD18*$AO18*$AP18,
AND(AD18&gt;0,$CZ18="Vehicle Distance (e.g. Public or Freight Transport)"),$I18*$AD18*$AM18*$AN18,
AND(AD18&gt;0,$CZ18="Weight Distance (e.g. Freight Transport)"),($I18*$K18*$AD18*$AO18*$AP18),
AND(AD18&gt;0,$CZ18="Passenger Distance (e.g. Public Transport)"),$I18*$L18*$AD18*$AO18*$AP18,
AND(AD18&gt;0,$CZ18="Vehicle Distance (e.g. Road Transport)"),($I18*$AD18*$AO18*$AP18)),"")</f>
        <v/>
      </c>
      <c r="W18" s="164" t="str" cm="1">
        <f t="array" aca="1" ref="W18" ca="1">IFERROR(_xlfn.IFS(AND(ISNUMBER(R18),AA18=0),AA18&amp;" "&amp;"("&amp;AB18&amp;" CO2/"&amp;AC18&amp;")",AND(ISNUMBER(R18),AA18&gt;0),ROUND(AA18,INT(3-LOG(AA18)))&amp;" "&amp;"("&amp;AB18&amp;" CO2/"&amp;AC18&amp;")"),"")</f>
        <v/>
      </c>
      <c r="X18" s="164" t="str" cm="1">
        <f t="array" aca="1" ref="X18" ca="1">IFERROR(_xlfn.IFS(AND(ISNUMBER(S18), AG18=0),AG18&amp;" "&amp;"("&amp;AH18&amp;" CH4/"&amp;AI18&amp;")",AND(ISNUMBER(S18), AG18&gt;0),ROUND(AG18,INT(3-LOG(AG18)))&amp;" "&amp;"("&amp;AH18&amp;" CH4/"&amp;AI18&amp;")"),"")</f>
        <v/>
      </c>
      <c r="Y18" s="164" t="str" cm="1">
        <f t="array" aca="1" ref="Y18" ca="1">IFERROR(_xlfn.IFS(AND(ISNUMBER(T18), AJ18=0),AJ18&amp;" "&amp;"("&amp;AK18&amp;" CH4/"&amp;AL18&amp;")",AND(ISNUMBER(T18), AJ18&gt;0),ROUND(AJ18,INT(3-LOG(AJ18)))&amp;" "&amp;"("&amp;AK18&amp;" N2O/"&amp;AL18&amp;")"),"")</f>
        <v/>
      </c>
      <c r="Z18" s="245" t="str" cm="1">
        <f t="array" aca="1" ref="Z18" ca="1">IFERROR(_xlfn.IFS(AND(ISNUMBER(V18),AD18=0),AD18&amp;" "&amp;"("&amp;AE18&amp;" CO2/"&amp;AF18&amp;")",AND(ISNUMBER(V18),AD18&gt;0),ROUND(AD18,INT(3-LOG(AD18)))&amp;" "&amp;"("&amp;AE18&amp;" CO2/"&amp;AF18&amp;")"),"")</f>
        <v/>
      </c>
      <c r="AA18" s="240" t="str" cm="1">
        <f t="array" aca="1" ref="AA18" ca="1">IFERROR(_xlfn.IFS(
OR($G18="Fuel Use",$G18="Fuel Use and Vehicle Distance"),VLOOKUP($M18,INDIRECT("Ref_EF_ByFuel"&amp;"_"&amp;$C18),3,0),
$G18="Vehicle Distance (e.g. Road Transport)",VLOOKUP($H18,INDIRECT("Ref_EF_Vehicle_Distance"&amp;"_"&amp;$C18),3,0),
$G18="Vehicle Distance (e.g. Public or Freight Transport)",VLOOKUP($H18,INDIRECT("Ref_EF_Vehicle_Distance_S3"&amp;"_"&amp;$C18),3,0),
$G18="Custom Vehicle",VLOOKUP($H18,Tbl_vehical_Settings,2,0),
$G18="Custom Fuel",VLOOKUP($M18,Tbl_Fuel_Settings,2,0),
$G18="Weight Distance (e.g. Freight Transport)",VLOOKUP($H18,INDIRECT("Ref_EF_Weight_Distance"&amp;"_"&amp;$C18),3,0),
$G18="Passenger Distance (e.g. Public Transport)",VLOOKUP($H18,INDIRECT("Ref_EF_Public_Transport"&amp;"_"&amp;$C18),3,0)),"")</f>
        <v/>
      </c>
      <c r="AB18" s="31" t="str" cm="1">
        <f t="array" aca="1" ref="AB18" ca="1">IFERROR(_xlfn.IFS(
OR($G18="Fuel Use",$G18="Fuel Use and Vehicle Distance"),VLOOKUP($M18,INDIRECT("Ref_EF_ByFuel"&amp;"_"&amp;$C18),5,0),
$G18="Vehicle Distance (e.g. Road Transport)",VLOOKUP($H18,INDIRECT("Ref_EF_Vehicle_Distance"&amp;"_"&amp;$C18),5,0),
$G18="Vehicle Distance (e.g. Public or Freight Transport)",VLOOKUP($H18,INDIRECT("Ref_EF_Vehicle_Distance_S3"&amp;"_"&amp;$C18),5,0),
$G18="Custom Vehicle",VLOOKUP($H18,Tbl_vehical_Settings,6,0),
$G18="Custom Fuel",VLOOKUP($M18,Tbl_Fuel_Settings,6,0),
$G18="Weight Distance (e.g. Freight Transport)",VLOOKUP($H18,INDIRECT("Ref_EF_Weight_Distance"&amp;"_"&amp;$C18),5,0),
$G18="Passenger Distance (e.g. Public Transport)",VLOOKUP($H18,INDIRECT("Ref_EF_Public_Transport"&amp;"_"&amp;$C18),5,0)),"")</f>
        <v/>
      </c>
      <c r="AC18" s="31" t="str" cm="1">
        <f t="array" aca="1" ref="AC18" ca="1">IFERROR(_xlfn.IFS(
OR($G18="Fuel Use",$G18="Fuel Use and Vehicle Distance"),VLOOKUP($M18,INDIRECT("Ref_EF_ByFuel"&amp;"_"&amp;$C18),6,0),
$G18="Vehicle Distance (e.g. Road Transport)",VLOOKUP($H18,INDIRECT("Ref_EF_Vehicle_Distance"&amp;"_"&amp;$C18),6,0),
$G18="Vehicle Distance (e.g. Public or Freight Transport)",VLOOKUP($H18,INDIRECT("Ref_EF_Vehicle_Distance_S3"&amp;"_"&amp;$C18),6,0),
$G18="Custom Vehicle",VLOOKUP($H18,Tbl_vehical_Settings,7,0),
$G18="Custom Fuel",VLOOKUP($M18,Tbl_Fuel_Settings,7,0),
$G18="Weight Distance (e.g. Freight Transport)",VLOOKUP($H18,INDIRECT("Ref_EF_Weight_Distance"&amp;"_"&amp;$C18),6,0),
$G18="Passenger Distance (e.g. Public Transport)",VLOOKUP($H18,INDIRECT("Ref_EF_Public_Transport"&amp;"_"&amp;$C18),6,0)),"")</f>
        <v/>
      </c>
      <c r="AD18" s="31" t="str" cm="1">
        <f t="array" aca="1" ref="AD18" ca="1">IFERROR(_xlfn.IFS(
OR($G18="Fuel Use",$G18="Fuel Use and Vehicle Distance"),VLOOKUP($M18,INDIRECT("Ref_EF_ByFuel"&amp;"_"&amp;$C18),4,0),
$G18="Vehicle Distance (e.g. Road Transport)",VLOOKUP($H18,INDIRECT("Ref_EF_Vehicle_Distance"&amp;"_"&amp;$C18),4,0),
$G18="Vehicle Distance (e.g. Public or Freight Transport)",VLOOKUP($H18,INDIRECT("Ref_EF_Vehicle_Distance_S3"&amp;"_"&amp;$C18),4,0),
$G18="Custom Vehicle",VLOOKUP($H18,Tbl_vehical_Settings,5,0),
$G18="Custom Fuel",VLOOKUP($M18,Tbl_Fuel_Settings,5,0),
$G18="Weight Distance (e.g. Freight Transport)",VLOOKUP($H18,INDIRECT("Ref_EF_Weight_Distance"&amp;"_"&amp;$C18),4,0),
$G18="Passenger Distance (e.g. Public Transport)",VLOOKUP($H18,INDIRECT("Ref_EF_Public_Transport"&amp;"_"&amp;$C18),4,0)),"")</f>
        <v/>
      </c>
      <c r="AE18" s="31" t="str" cm="1">
        <f t="array" aca="1" ref="AE18" ca="1">IFERROR(_xlfn.IFS(
OR($G18="Fuel Use",$G18="Fuel Use and Vehicle Distance"),VLOOKUP($M18,INDIRECT("Ref_EF_ByFuel"&amp;"_"&amp;$C18),5,0),
$G18="Vehicle Distance (e.g. Road Transport)",VLOOKUP($H18,INDIRECT("Ref_EF_Vehicle_Distance"&amp;"_"&amp;$C18),5,0),
$G18="Vehicle Distance (e.g. Public or Freight Transport)",VLOOKUP($H18,INDIRECT("Ref_EF_Vehicle_Distance_S3"&amp;"_"&amp;$C18),5,0),
$G18="Custom Vehicle",VLOOKUP($H18,Tbl_vehical_Settings,6,0),
$G18="Custom Fuel",VLOOKUP($M18,Tbl_Fuel_Settings,6,0),
$G18="Weight Distance (e.g. Freight Transport)",VLOOKUP($H18,INDIRECT("Ref_EF_Weight_Distance"&amp;"_"&amp;$C18),5,0),
$G18="Passenger Distance (e.g. Public Transport)",VLOOKUP($H18,INDIRECT("Ref_EF_Public_Transport"&amp;"_"&amp;$C18),5,0)),"")</f>
        <v/>
      </c>
      <c r="AF18" s="31" t="str" cm="1">
        <f t="array" aca="1" ref="AF18" ca="1">IFERROR(_xlfn.IFS(
OR($G18="Fuel Use",$G18="Fuel Use and Vehicle Distance"),VLOOKUP($M18,INDIRECT("Ref_EF_ByFuel"&amp;"_"&amp;$C18),6,0),
$G18="Vehicle Distance (e.g. Road Transport)",VLOOKUP($H18,INDIRECT("Ref_EF_Vehicle_Distance"&amp;"_"&amp;$C18),6,0),
$G18="Vehicle Distance (e.g. Public or Freight Transport)",VLOOKUP($H18,INDIRECT("Ref_EF_Vehicle_Distance_S3"&amp;"_"&amp;$C18),6,0),
$G18="Custom Vehicle",VLOOKUP($H18,Tbl_vehical_Settings,7,0),
$G18="Custom Fuel",VLOOKUP($M18,Tbl_Fuel_Settings,7,0),
$G18="Weight Distance (e.g. Freight Transport)",VLOOKUP($H18,INDIRECT("Ref_EF_Weight_Distance"&amp;"_"&amp;$C18),6,0),
$G18="Passenger Distance (e.g. Public Transport)",VLOOKUP($H18,INDIRECT("Ref_EF_Public_Transport"&amp;"_"&amp;$C18),6,0)),"")</f>
        <v/>
      </c>
      <c r="AG18" s="31" t="str" cm="1">
        <f t="array" aca="1" ref="AG18" ca="1">IFERROR(_xlfn.IFS(
AND($G18="Fuel Use",$E18&lt;&gt;"Road"),VLOOKUP($H18,INDIRECT("Ref_EF_ByFuel_CH4"&amp;"_"&amp;$C18),3,0),
$G18="Vehicle Distance (e.g. Road Transport)",VLOOKUP($H18,INDIRECT("Ref_EF_Vehicle_Distance"&amp;"_"&amp;$C18),7,0),
$G18="Vehicle Distance (e.g. Public or Freight Transport)",VLOOKUP($H18,INDIRECT("Ref_EF_Vehicle_Distance_S3"&amp;"_"&amp;$C18),7,0),
$G18="Fuel Use and Vehicle Distance",VLOOKUP($H18,INDIRECT("Ref_EF_Fuel_Vehicle_Distance"&amp;"_"&amp;$C18),3,0),
$G18="Custom Vehicle",VLOOKUP($H18,Tbl_vehical_Settings,3,0),
$G18="Custom Fuel",VLOOKUP($M18,Tbl_Fuel_Settings,3,0),
$G18="Weight Distance (e.g. Freight Transport)",VLOOKUP($H18,INDIRECT("Ref_EF_Weight_Distance_CH4"&amp;"_"&amp;$C18),3,0),
$G18="Passenger Distance (e.g. Public Transport)",VLOOKUP($H18,INDIRECT("Ref_EF_Public_Transport_CH4"&amp;"_"&amp;$C18),7,0)),"")</f>
        <v/>
      </c>
      <c r="AH18" s="31" t="str" cm="1">
        <f t="array" aca="1" ref="AH18" ca="1">IFERROR(_xlfn.IFS(
AND($G18="Fuel Use",$E18&lt;&gt;"Road"),VLOOKUP($H18,INDIRECT("Ref_EF_ByFuel_CH4"&amp;"_"&amp;$C18),4,0),
$G18="Vehicle Distance (e.g. Road Transport)",VLOOKUP($H18,INDIRECT("Ref_EF_Vehicle_Distance"&amp;"_"&amp;$C18),8,0),
$G18="Vehicle Distance (e.g. Public or Freight Transport)",VLOOKUP($H18,INDIRECT("Ref_EF_Vehicle_Distance_S3"&amp;"_"&amp;$C18),8,0),
$G18="Fuel Use and Vehicle Distance",VLOOKUP($H18,INDIRECT("Ref_EF_Fuel_Vehicle_Distance"&amp;"_"&amp;$C18),4,0),
$G18="Custom Vehicle",VLOOKUP($H18,Tbl_vehical_Settings,6,0),
$G18="Custom Fuel",VLOOKUP($M18,Tbl_Fuel_Settings,6,0),
$G18="Weight Distance (e.g. Freight Transport)",VLOOKUP($H18,INDIRECT("Ref_EF_Weight_Distance_CH4"&amp;"_"&amp;$C18),4,0),
$G18="Passenger Distance (e.g. Public Transport)",VLOOKUP($H18,INDIRECT("Ref_EF_Public_Transport_CH4"&amp;"_"&amp;$C18),8,0)),"")</f>
        <v/>
      </c>
      <c r="AI18" s="31" t="str" cm="1">
        <f t="array" aca="1" ref="AI18" ca="1">IFERROR(_xlfn.IFS(
AND($G18="Fuel Use",$E18&lt;&gt;"Road"),VLOOKUP($H18,INDIRECT("Ref_EF_ByFuel_CH4"&amp;"_"&amp;$C18),5,0),
$G18="Vehicle Distance (e.g. Road Transport)",VLOOKUP($H18,INDIRECT("Ref_EF_Vehicle_Distance"&amp;"_"&amp;$C18),9,0),
$G18="Vehicle Distance (e.g. Public or Freight Transport)",VLOOKUP($H18,INDIRECT("Ref_EF_Vehicle_Distance_S3"&amp;"_"&amp;$C18),9,0),
$G18="Fuel Use and Vehicle Distance",VLOOKUP($H18,INDIRECT("Ref_EF_Fuel_Vehicle_Distance"&amp;"_"&amp;$C18),5,0),
$G18="Custom Vehicle",VLOOKUP($H18,Tbl_vehical_Settings,7,0),
$G18="Custom Fuel",VLOOKUP($M18,Tbl_Fuel_Settings,7,0),
$G18="Weight Distance (e.g. Freight Transport)",VLOOKUP($H18,INDIRECT("Ref_EF_Weight_Distance_CH4"&amp;"_"&amp;$C18),5,0),
$G18="Passenger Distance (e.g. Public Transport)",VLOOKUP($H18,INDIRECT("Ref_EF_Public_Transport_CH4"&amp;"_"&amp;$C18),9,0)),"")</f>
        <v/>
      </c>
      <c r="AJ18" s="31" t="str" cm="1">
        <f t="array" aca="1" ref="AJ18" ca="1">IFERROR(_xlfn.IFS(
AND($G18="Fuel Use",$E18&lt;&gt;"Road"),VLOOKUP($H18,INDIRECT("Ref_EF_ByFuel_CH4"&amp;"_"&amp;$C18),6,0),
$G18="Vehicle Distance (e.g. Road Transport)",VLOOKUP($H18,INDIRECT("Ref_EF_Vehicle_Distance"&amp;"_"&amp;$C18),10,0),
$G18="Vehicle Distance (e.g. Public or Freight Transport)",VLOOKUP($H18,INDIRECT("Ref_EF_Vehicle_Distance_S3"&amp;"_"&amp;$C18),10,0),
$G18="Fuel Use and Vehicle Distance",VLOOKUP($H18,INDIRECT("Ref_EF_Fuel_Vehicle_Distance"&amp;"_"&amp;$C18),6,0),
$G18="Custom Vehicle",VLOOKUP($H18,Tbl_vehical_Settings,4,0),
$G18="Custom Fuel",VLOOKUP($M18,Tbl_Fuel_Settings,4,0),
$G18="Weight Distance (e.g. Freight Transport)",VLOOKUP($H18,INDIRECT("Ref_EF_Weight_Distance_CH4"&amp;"_"&amp;$C18),6,0),
$G18="Passenger Distance (e.g. Public Transport)",VLOOKUP($H18,INDIRECT("Ref_EF_Public_Transport_CH4"&amp;"_"&amp;$C18),10,0)),"")</f>
        <v/>
      </c>
      <c r="AK18" s="31" t="str" cm="1">
        <f t="array" aca="1" ref="AK18" ca="1">IFERROR(_xlfn.IFS(
AND($G18="Fuel Use",$E18&lt;&gt;"Road"),VLOOKUP($H18,INDIRECT("Ref_EF_ByFuel_CH4"&amp;"_"&amp;$C18),7,0),
$G18="Vehicle Distance (e.g. Road Transport)",VLOOKUP($H18,INDIRECT("Ref_EF_Vehicle_Distance"&amp;"_"&amp;$C18),11,0),
$G18="Vehicle Distance (e.g. Public or Freight Transport)",VLOOKUP($H18,INDIRECT("Ref_EF_Vehicle_Distance_S3"&amp;"_"&amp;$C18),11,0),
$G18="Fuel Use and Vehicle Distance",VLOOKUP($H18,INDIRECT("Ref_EF_Fuel_Vehicle_Distance"&amp;"_"&amp;$C18),7,0),
$G18="Custom Vehicle",VLOOKUP($H18,Tbl_vehical_Settings,6,0),
$G18="Custom Fuel",VLOOKUP($M18,Tbl_Fuel_Settings,6,0),
$G18="Weight Distance (e.g. Freight Transport)",VLOOKUP($H18,INDIRECT("Ref_EF_Weight_Distance_CH4"&amp;"_"&amp;$C18),7,0),
$G18="Passenger Distance (e.g. Public Transport)",VLOOKUP($H18,INDIRECT("Ref_EF_Public_Transport_CH4"&amp;"_"&amp;$C18),11,0)),"")</f>
        <v/>
      </c>
      <c r="AL18" s="31" t="str" cm="1">
        <f t="array" aca="1" ref="AL18" ca="1">IFERROR(_xlfn.IFS(
AND($G18="Fuel Use",$E18&lt;&gt;"Road"),VLOOKUP($H18,INDIRECT("Ref_EF_ByFuel_CH4"&amp;"_"&amp;$C18),8,0),
$G18="Vehicle Distance (e.g. Road Transport)",VLOOKUP($H18,INDIRECT("Ref_EF_Vehicle_Distance"&amp;"_"&amp;$C18),12,0),
$G18="Vehicle Distance (e.g. Public or Freight Transport)",VLOOKUP($H18,INDIRECT("Ref_EF_Vehicle_Distance_S3"&amp;"_"&amp;$C18),12,0),
$G18="Fuel Use and Vehicle Distance",VLOOKUP($H18,INDIRECT("Ref_EF_Fuel_Vehicle_Distance"&amp;"_"&amp;$C18),8,0),
$G18="Custom Vehicle",VLOOKUP($H18,Tbl_vehical_Settings,7,0),
$G18="Custom Fuel",VLOOKUP($M18,Tbl_Fuel_Settings,7,0),
$G18="Weight Distance (e.g. Freight Transport)",VLOOKUP($H18,INDIRECT("Ref_EF_Weight_Distance_CH4"&amp;"_"&amp;$C18),8,0),
$G18="Passenger Distance (e.g. Public Transport)",VLOOKUP($H18,INDIRECT("Ref_EF_Public_Transport_CH4"&amp;"_"&amp;$C18),12,0)),"")</f>
        <v/>
      </c>
      <c r="AM18" s="31" t="e">
        <f ca="1">INDEX(Ref_Master_Unit_Table,MATCH($AB18,REF_To_Unit,0),MATCH('Reference - Lookup and Unit'!$A$11,Ref_From_Units,0))</f>
        <v>#N/A</v>
      </c>
      <c r="AN18" s="31" t="e">
        <f t="shared" ca="1" si="0"/>
        <v>#N/A</v>
      </c>
      <c r="AO18" s="31" t="e">
        <f ca="1">INDEX(Ref_Master_Unit_Table,MATCH($AE18,REF_To_Unit,0),MATCH('Reference - Lookup and Unit'!$A$11,Ref_From_Units,0))</f>
        <v>#N/A</v>
      </c>
      <c r="AP18" s="31" t="e">
        <f t="shared" ca="1" si="1"/>
        <v>#N/A</v>
      </c>
      <c r="AQ18" s="31" t="e">
        <f ca="1">INDEX(Ref_Master_Unit_Table,MATCH($AH18,REF_To_Unit,0),MATCH('Reference - Lookup and Unit'!$A$11,Ref_From_Units,0))</f>
        <v>#N/A</v>
      </c>
      <c r="AR18" s="31" t="e">
        <f t="shared" ca="1" si="2"/>
        <v>#N/A</v>
      </c>
      <c r="AS18" s="31" t="e">
        <f ca="1">INDEX(Ref_Master_Unit_Table,MATCH($AK18,REF_To_Unit,0),MATCH('Reference - Lookup and Unit'!$A$11,Ref_From_Units,0))</f>
        <v>#N/A</v>
      </c>
      <c r="AT18" s="31" t="e">
        <f t="shared" ca="1" si="3"/>
        <v>#N/A</v>
      </c>
      <c r="AU18" s="31" t="e" cm="1">
        <f t="array" aca="1" ref="AU18"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18" s="31">
        <f t="shared" ca="1" si="48"/>
        <v>27.9</v>
      </c>
      <c r="AW18" s="31">
        <f t="shared" ca="1" si="49"/>
        <v>273</v>
      </c>
      <c r="AX18" s="31" t="e" cm="1">
        <f t="array" aca="1" ref="AX18"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18" s="25" t="e" cm="1">
        <f t="array" ref="AY18">_xlfn.IFS(
AND($E18&lt;&gt;"",$G18="Custom Fuel"),("Settings_Custom_Fuels"),
AND($E18&lt;&gt;"",$G18="Custom vehicle"),("Settings_Custom_Vehicle"),
AND($E18&lt;&gt;"",$G18="Fuel Use"),("Ref_DD_vehicle_FuelUse"&amp;"_"&amp;C18&amp;"_"&amp;E18),
AND($E18&lt;&gt;"",$G18="Fuel Use and Vehicle Distance"),("Ref_DD_Fuel_VehicleDistance"&amp;"_"&amp;C18&amp;"_"&amp;E18),
AND($E18&lt;&gt;"",$G18="Vehicle Distance (e.g. Road Transport)"),("Ref_DD_vehicle_VehicleDistance"&amp;"_"&amp;C18&amp;"_"&amp;E18),
AND($E18&lt;&gt;"",$G18="Weight Distance (e.g. Freight Transport)"),("Ref_DD_vehicle_WeightDistance"&amp;"_"&amp;C18&amp;"_"&amp;E18),
AND($E18&lt;&gt;"",$G18="Vehicle Distance (e.g. Public or Freight Transport)"),("Ref_DD_vehicle_DistanceS3"&amp;"_"&amp;C18),
AND($E18&lt;&gt;"",$G18="Passenger Distance (e.g. Public Transport)"),("Ref_DD_vehicle_Passenger"&amp;"_"&amp;C18&amp;"_"&amp;E18),
AND($E18="",$G18="Fuel Use"),("Ref_DD_vehicle_FuelUse"&amp;"_"&amp;C18),
AND($E18="",OR($G18="Vehicle Distance (e.g. Road Transport)",$G18="Fuel Use and Vehicle Distance")),("Ref_DD_vehicle_VehicleDistance"&amp;"_"&amp;C18),
AND($E18="",$G18="Weight Distance (e.g. Freight Transport)"),("Ref_DD_vehicle_WeightDistance"&amp;"_"&amp;C18),
AND($E18="",$G18="Vehicle Distance (e.g. Public or Freight Transport)"),("Ref_DD_vehicle_DistanceS3"&amp;"_"&amp;C18),
AND($E18="",$G18="Passenger Distance (e.g. Public Transport)"),("Ref_DD_vehicle_Passenger"&amp;"_"&amp;C18))</f>
        <v>#N/A</v>
      </c>
      <c r="AZ18" s="25" t="b">
        <f t="shared" ca="1" si="4"/>
        <v>0</v>
      </c>
      <c r="BA18" s="25" t="str">
        <f t="shared" si="5"/>
        <v/>
      </c>
      <c r="BB18" s="25" t="str">
        <f t="shared" si="6"/>
        <v/>
      </c>
      <c r="BC18" s="25" t="str">
        <f t="shared" si="50"/>
        <v/>
      </c>
      <c r="BD18" s="25" t="str">
        <f t="shared" si="51"/>
        <v/>
      </c>
      <c r="BE18" s="25" t="str">
        <f t="shared" si="52"/>
        <v/>
      </c>
      <c r="BF18" s="25" t="str">
        <f t="shared" si="53"/>
        <v/>
      </c>
      <c r="BG18" s="25" t="str">
        <f t="shared" si="7"/>
        <v/>
      </c>
      <c r="BH18" s="25" t="str">
        <f t="shared" si="8"/>
        <v/>
      </c>
      <c r="BI18" s="25" t="str">
        <f t="shared" si="54"/>
        <v/>
      </c>
      <c r="BJ18" s="25" t="str">
        <f t="shared" si="55"/>
        <v/>
      </c>
      <c r="BK18" s="25" t="str">
        <f t="shared" si="56"/>
        <v/>
      </c>
      <c r="BL18" s="25" t="str">
        <f t="shared" si="57"/>
        <v/>
      </c>
      <c r="BM18" s="25" t="str">
        <f t="shared" si="9"/>
        <v/>
      </c>
      <c r="BN18" s="25" t="str">
        <f t="shared" ca="1" si="10"/>
        <v/>
      </c>
      <c r="BO18" s="25" t="str">
        <f t="shared" si="11"/>
        <v/>
      </c>
      <c r="BP18" s="25" t="str">
        <f t="shared" si="12"/>
        <v/>
      </c>
      <c r="BQ18" s="25" t="str">
        <f t="shared" si="13"/>
        <v/>
      </c>
      <c r="BR18" s="25" t="str">
        <f t="shared" si="14"/>
        <v/>
      </c>
      <c r="BS18" s="25" t="str">
        <f t="shared" si="15"/>
        <v/>
      </c>
      <c r="BT18" s="25" t="str">
        <f t="shared" si="16"/>
        <v/>
      </c>
      <c r="BU18" s="25" t="str">
        <f t="shared" si="17"/>
        <v/>
      </c>
      <c r="BV18" s="25" t="str">
        <f t="shared" si="18"/>
        <v/>
      </c>
      <c r="BW18" s="25" t="str">
        <f t="shared" si="19"/>
        <v/>
      </c>
      <c r="BX18" s="25" t="str">
        <f t="shared" si="20"/>
        <v/>
      </c>
      <c r="BY18" s="25" t="str">
        <f t="shared" si="21"/>
        <v/>
      </c>
      <c r="BZ18" s="25" t="str">
        <f t="shared" si="22"/>
        <v/>
      </c>
      <c r="CA18" s="25" t="str">
        <f t="shared" si="23"/>
        <v/>
      </c>
      <c r="CB18" s="25" t="str">
        <f t="shared" si="24"/>
        <v/>
      </c>
      <c r="CC18" s="25" t="str">
        <f t="shared" si="25"/>
        <v/>
      </c>
      <c r="CD18" s="25" t="str">
        <f t="shared" si="26"/>
        <v/>
      </c>
      <c r="CE18" s="25" t="str">
        <f t="shared" si="27"/>
        <v/>
      </c>
      <c r="CF18" s="25" t="str">
        <f t="shared" si="28"/>
        <v/>
      </c>
      <c r="CG18" s="25" t="str">
        <f t="shared" si="29"/>
        <v/>
      </c>
      <c r="CH18" s="25" t="str">
        <f t="shared" si="30"/>
        <v/>
      </c>
      <c r="CI18" s="25" t="str">
        <f t="shared" si="31"/>
        <v/>
      </c>
      <c r="CJ18" s="25" t="str">
        <f t="shared" si="32"/>
        <v/>
      </c>
      <c r="CK18" s="25" t="str">
        <f t="shared" si="33"/>
        <v/>
      </c>
      <c r="CL18" s="25" t="str">
        <f t="shared" si="34"/>
        <v/>
      </c>
      <c r="CM18" s="25" t="str">
        <f t="shared" si="35"/>
        <v/>
      </c>
      <c r="CN18" s="25" t="str">
        <f t="shared" si="36"/>
        <v/>
      </c>
      <c r="CO18" s="25" t="str">
        <f t="shared" si="37"/>
        <v/>
      </c>
      <c r="CP18" s="25" t="str">
        <f t="shared" si="38"/>
        <v/>
      </c>
      <c r="CQ18" s="25" t="str">
        <f t="shared" si="39"/>
        <v/>
      </c>
      <c r="CR18" s="25" t="str">
        <f t="shared" si="40"/>
        <v/>
      </c>
      <c r="CS18" s="25" t="str">
        <f t="shared" si="41"/>
        <v/>
      </c>
      <c r="CT18" s="25" t="str">
        <f t="shared" si="42"/>
        <v/>
      </c>
      <c r="CU18" s="25" t="str">
        <f t="shared" si="43"/>
        <v/>
      </c>
      <c r="CV18" s="25" t="str">
        <f t="shared" si="44"/>
        <v/>
      </c>
      <c r="CW18" s="25" t="str">
        <f t="shared" si="45"/>
        <v/>
      </c>
      <c r="CX18" s="25" t="str" cm="1">
        <f t="array" ref="CX18">_xlfn.IFNA(_xlfn.IFS(
$G18="Weight Distance (e.g. Freight Transport)","Ref_DD_WeightDistanceUnits",
$G18="Passenger Distance (e.g. Public Transport)","Ref_DD_PasengerDistanceUnits",
$G18="Vehicle Distance (e.g. Road Transport)", "Ref_DD_DistanceUnit",
$G18="Vehicle Distance (e.g. Public or Freight Transport)","Ref_DD_DistanceUnit",
$G18="Fuel Use and Vehicle Distance", "Ref_DD_DistanceUnit",
$G18="Custom Vehicle",VLOOKUP($H18,'2. Settings'!$B$39:$I$54,8,FALSE)),"")</f>
        <v/>
      </c>
      <c r="CY18" s="27" t="str">
        <f ca="1">IF(AND(ISERROR(#REF!*$AU18)=TRUE,ISERROR((S18/1000)*$AV18)=TRUE,ISERROR((T18/1000)*$AW18)=FALSE),((T18/1000)*$AW18),"")</f>
        <v/>
      </c>
      <c r="CZ18" s="27" cm="1">
        <f t="array" ref="CZ18">IFERROR(_xlfn.IFS(
AND($G18="Custom vehicle",OR($J18="Passenger Mile",$J18="Passenger Kilometer")),"Passenger Distance (e.g. Public Transport)",
AND($G18="Custom vehicle",OR($J18="Tonne Mile",$J18="Tonne Kilometer",$J18="Short Ton Kilometer",$J18="Short Ton Mile")),"Weight Distance (e.g. Freight Transport)",
AND($G18="Custom vehicle",OR($J18="Mile",$J18="Kilometer")),"Vehicle Distance (e.g. Road Transport)",
$G18&lt;&gt;"Custom vehicle",$G18),"")</f>
        <v>0</v>
      </c>
      <c r="DA18" s="27" t="str" cm="1">
        <f t="array" ref="DA18">IFERROR(_xlfn.IFS(OR(J18="Tonne Kilometer",J18="Tonne Mile",J18="Short Ton Mile",J18="Short Ton Kilometer"),I18*K18,OR(J18="Passenger Kilometer",J18="Passenger Mile"),I18*L18,OR(J18="Kilometer",J18="Mile"),$I18),"")</f>
        <v/>
      </c>
    </row>
    <row r="19" spans="2:105" x14ac:dyDescent="0.25">
      <c r="B19" s="244"/>
      <c r="C19" s="71" t="str" cm="1">
        <f t="array" ref="C19">IFERROR(_xlfn.IFS($D19="Other", D19&amp;"_" &amp;Ref_Other_to,OR($D19="UK", $D19="US"),$D19),"")</f>
        <v/>
      </c>
      <c r="D19" s="71"/>
      <c r="E19" s="71"/>
      <c r="F19" s="71"/>
      <c r="G19" s="72"/>
      <c r="H19" s="72"/>
      <c r="I19" s="73"/>
      <c r="J19" s="73"/>
      <c r="K19" s="73"/>
      <c r="L19" s="73"/>
      <c r="M19" s="74"/>
      <c r="N19" s="75"/>
      <c r="O19" s="71"/>
      <c r="P19" s="165" t="str">
        <f t="shared" si="58"/>
        <v/>
      </c>
      <c r="Q19" s="166" t="str">
        <f t="shared" si="46"/>
        <v/>
      </c>
      <c r="R19" s="76" t="str" cm="1">
        <f t="array" aca="1" ref="R19" ca="1">IFERROR(_xlfn.IFS(
AND(AA19&gt;0, OR($G19="Fuel Use",$G19="Custom Fuel")),$N19*$AA19*$AM19*$AN19,
AND(AA19&gt;0,$CZ19="Vehicle Distance (e.g. Road Transport)"),$I19*$AA19*$AM19*$AN19,
AND(AA19&gt;0,$CZ19="Vehicle Distance (e.g. Public or Freight Transport)"),$I19*$AA19*$AM19*$AN19,
AND(AA19&gt;0,$CZ19="Fuel Use and Vehicle Distance"),$N19*$AA19*$AM19*$AN19,
AND(AA19&gt;0,$CZ19="Passenger Distance (e.g. Public Transport)"),$DA19*$AA19*$AM19*$AN19,
AND(AA19&gt;0,$CZ19="Weight Distance (e.g. Freight Transport)"),$DA19*$AA19*$AM19*$AN19),"")</f>
        <v/>
      </c>
      <c r="S19" s="77" t="str" cm="1">
        <f t="array" aca="1" ref="S19" ca="1">IFERROR(_xlfn.IFS(
AND(AG19&gt;-1, $G19="Fuel Use and Vehicle Distance"),$I19*$AG19*$AQ19*$AR19,
AND(AG19&gt;-1, $G19="Vehicle Distance (e.g. Road Transport)"),$I19*$AG19*$AQ19*$AR19,
AND(AG19&gt;-1, $CZ19="Vehicle Distance (e.g. Public or Freight Transport)"),$I19*$AG19*$AQ19*$AR19,
AND(AG19&gt;-1, OR($G19="Fuel Use",$G19="Custom Fuel")), $N19*$AG19*$AQ19*$AR19*1000,
AND(AG19&gt;-1, $G19="Custom Vehicle"),$DA19*$AG19*$AQ19*$AR19*1000,
AND(AG19&gt;-1, AND($G19&lt;&gt;"Custom Vehicle",$CZ19="Weight Distance (e.g. Freight Transport)")),$DA19*$AG19*$AQ19*$AR19*1000,
AND(AG19&gt;-1, AND($G19&lt;&gt;"Custom Vehicle",$CZ19="Passenger Distance (e.g. Public Transport)")), $DA19*$AG19*$AQ19*$AR19*1000),"")</f>
        <v/>
      </c>
      <c r="T19" s="77" t="str" cm="1">
        <f t="array" aca="1" ref="T19" ca="1">IFERROR(_xlfn.IFS(
AND(AJ19&gt;0,$G19="Fuel Use and Vehicle Distance"),$I19*$AJ19*$AS19*$AT19,
AND(AJ19&gt;0,$G19="Vehicle Distance (e.g. Road Transport)"),$I19*$AJ19*$AS19*$AT19,
AND(AJ19&gt;0,$G19="Vehicle Distance (e.g. Public or Freight Transport)"),$I19*$AJ19*$AS19*$AT19,
AND(AJ19&gt;0,OR($G19="Fuel Use",$G19="Custom Fuel")), $N19*$AJ19*$AS19*$AT19*1000,
AND(AJ19&gt;0,$G19="Custom Vehicle"),$DA19*$AJ19*$AS19*$AT19*1000,
AND(AJ19&gt;0,AND($G19&lt;&gt;"Custom Vehicle",$CZ19="Weight Distance (e.g. Freight Transport)")),$DA19*$AJ19*$AS19*$AT19*1000,
AND(AJ19&gt;0,AND($G19&lt;&gt;"Custom Vehicle",$CZ19="Passenger Distance (e.g. Public Transport)")), $DA19*$AJ19*$AS19*$AT19*1000),"")</f>
        <v/>
      </c>
      <c r="U19" s="78" t="str">
        <f t="shared" ca="1" si="47"/>
        <v/>
      </c>
      <c r="V19" s="161" t="str" cm="1">
        <f t="array" aca="1" ref="V19" ca="1">IFERROR(_xlfn.IFS(
AND(AD19&gt;0,OR($CZ19="Fuel Use",$CZ19="Custom Fuel",$CZ19="Fuel Use and Vehicle Distance")),($N19*$AD19*$AO19*$AP19),
AND(AD19&gt;0,$G19="Custom Vehicle"),$DA19*$AD19*$AO19*$AP19,
AND(AD19&gt;0,$CZ19="Vehicle Distance (e.g. Public or Freight Transport)"),$I19*$AD19*$AM19*$AN19,
AND(AD19&gt;0,$CZ19="Weight Distance (e.g. Freight Transport)"),($I19*$K19*$AD19*$AO19*$AP19),
AND(AD19&gt;0,$CZ19="Passenger Distance (e.g. Public Transport)"),$I19*$L19*$AD19*$AO19*$AP19,
AND(AD19&gt;0,$CZ19="Vehicle Distance (e.g. Road Transport)"),($I19*$AD19*$AO19*$AP19)),"")</f>
        <v/>
      </c>
      <c r="W19" s="164" t="str" cm="1">
        <f t="array" aca="1" ref="W19" ca="1">IFERROR(_xlfn.IFS(AND(ISNUMBER(R19),AA19=0),AA19&amp;" "&amp;"("&amp;AB19&amp;" CO2/"&amp;AC19&amp;")",AND(ISNUMBER(R19),AA19&gt;0),ROUND(AA19,INT(3-LOG(AA19)))&amp;" "&amp;"("&amp;AB19&amp;" CO2/"&amp;AC19&amp;")"),"")</f>
        <v/>
      </c>
      <c r="X19" s="164" t="str" cm="1">
        <f t="array" aca="1" ref="X19" ca="1">IFERROR(_xlfn.IFS(AND(ISNUMBER(S19), AG19=0),AG19&amp;" "&amp;"("&amp;AH19&amp;" CH4/"&amp;AI19&amp;")",AND(ISNUMBER(S19), AG19&gt;0),ROUND(AG19,INT(3-LOG(AG19)))&amp;" "&amp;"("&amp;AH19&amp;" CH4/"&amp;AI19&amp;")"),"")</f>
        <v/>
      </c>
      <c r="Y19" s="164" t="str" cm="1">
        <f t="array" aca="1" ref="Y19" ca="1">IFERROR(_xlfn.IFS(AND(ISNUMBER(T19), AJ19=0),AJ19&amp;" "&amp;"("&amp;AK19&amp;" CH4/"&amp;AL19&amp;")",AND(ISNUMBER(T19), AJ19&gt;0),ROUND(AJ19,INT(3-LOG(AJ19)))&amp;" "&amp;"("&amp;AK19&amp;" N2O/"&amp;AL19&amp;")"),"")</f>
        <v/>
      </c>
      <c r="Z19" s="245" t="str" cm="1">
        <f t="array" aca="1" ref="Z19" ca="1">IFERROR(_xlfn.IFS(AND(ISNUMBER(V19),AD19=0),AD19&amp;" "&amp;"("&amp;AE19&amp;" CO2/"&amp;AF19&amp;")",AND(ISNUMBER(V19),AD19&gt;0),ROUND(AD19,INT(3-LOG(AD19)))&amp;" "&amp;"("&amp;AE19&amp;" CO2/"&amp;AF19&amp;")"),"")</f>
        <v/>
      </c>
      <c r="AA19" s="240" t="str" cm="1">
        <f t="array" aca="1" ref="AA19" ca="1">IFERROR(_xlfn.IFS(
OR($G19="Fuel Use",$G19="Fuel Use and Vehicle Distance"),VLOOKUP($M19,INDIRECT("Ref_EF_ByFuel"&amp;"_"&amp;$C19),3,0),
$G19="Vehicle Distance (e.g. Road Transport)",VLOOKUP($H19,INDIRECT("Ref_EF_Vehicle_Distance"&amp;"_"&amp;$C19),3,0),
$G19="Vehicle Distance (e.g. Public or Freight Transport)",VLOOKUP($H19,INDIRECT("Ref_EF_Vehicle_Distance_S3"&amp;"_"&amp;$C19),3,0),
$G19="Custom Vehicle",VLOOKUP($H19,Tbl_vehical_Settings,2,0),
$G19="Custom Fuel",VLOOKUP($M19,Tbl_Fuel_Settings,2,0),
$G19="Weight Distance (e.g. Freight Transport)",VLOOKUP($H19,INDIRECT("Ref_EF_Weight_Distance"&amp;"_"&amp;$C19),3,0),
$G19="Passenger Distance (e.g. Public Transport)",VLOOKUP($H19,INDIRECT("Ref_EF_Public_Transport"&amp;"_"&amp;$C19),3,0)),"")</f>
        <v/>
      </c>
      <c r="AB19" s="31" t="str" cm="1">
        <f t="array" aca="1" ref="AB19" ca="1">IFERROR(_xlfn.IFS(
OR($G19="Fuel Use",$G19="Fuel Use and Vehicle Distance"),VLOOKUP($M19,INDIRECT("Ref_EF_ByFuel"&amp;"_"&amp;$C19),5,0),
$G19="Vehicle Distance (e.g. Road Transport)",VLOOKUP($H19,INDIRECT("Ref_EF_Vehicle_Distance"&amp;"_"&amp;$C19),5,0),
$G19="Vehicle Distance (e.g. Public or Freight Transport)",VLOOKUP($H19,INDIRECT("Ref_EF_Vehicle_Distance_S3"&amp;"_"&amp;$C19),5,0),
$G19="Custom Vehicle",VLOOKUP($H19,Tbl_vehical_Settings,6,0),
$G19="Custom Fuel",VLOOKUP($M19,Tbl_Fuel_Settings,6,0),
$G19="Weight Distance (e.g. Freight Transport)",VLOOKUP($H19,INDIRECT("Ref_EF_Weight_Distance"&amp;"_"&amp;$C19),5,0),
$G19="Passenger Distance (e.g. Public Transport)",VLOOKUP($H19,INDIRECT("Ref_EF_Public_Transport"&amp;"_"&amp;$C19),5,0)),"")</f>
        <v/>
      </c>
      <c r="AC19" s="31" t="str" cm="1">
        <f t="array" aca="1" ref="AC19" ca="1">IFERROR(_xlfn.IFS(
OR($G19="Fuel Use",$G19="Fuel Use and Vehicle Distance"),VLOOKUP($M19,INDIRECT("Ref_EF_ByFuel"&amp;"_"&amp;$C19),6,0),
$G19="Vehicle Distance (e.g. Road Transport)",VLOOKUP($H19,INDIRECT("Ref_EF_Vehicle_Distance"&amp;"_"&amp;$C19),6,0),
$G19="Vehicle Distance (e.g. Public or Freight Transport)",VLOOKUP($H19,INDIRECT("Ref_EF_Vehicle_Distance_S3"&amp;"_"&amp;$C19),6,0),
$G19="Custom Vehicle",VLOOKUP($H19,Tbl_vehical_Settings,7,0),
$G19="Custom Fuel",VLOOKUP($M19,Tbl_Fuel_Settings,7,0),
$G19="Weight Distance (e.g. Freight Transport)",VLOOKUP($H19,INDIRECT("Ref_EF_Weight_Distance"&amp;"_"&amp;$C19),6,0),
$G19="Passenger Distance (e.g. Public Transport)",VLOOKUP($H19,INDIRECT("Ref_EF_Public_Transport"&amp;"_"&amp;$C19),6,0)),"")</f>
        <v/>
      </c>
      <c r="AD19" s="31" t="str" cm="1">
        <f t="array" aca="1" ref="AD19" ca="1">IFERROR(_xlfn.IFS(
OR($G19="Fuel Use",$G19="Fuel Use and Vehicle Distance"),VLOOKUP($M19,INDIRECT("Ref_EF_ByFuel"&amp;"_"&amp;$C19),4,0),
$G19="Vehicle Distance (e.g. Road Transport)",VLOOKUP($H19,INDIRECT("Ref_EF_Vehicle_Distance"&amp;"_"&amp;$C19),4,0),
$G19="Vehicle Distance (e.g. Public or Freight Transport)",VLOOKUP($H19,INDIRECT("Ref_EF_Vehicle_Distance_S3"&amp;"_"&amp;$C19),4,0),
$G19="Custom Vehicle",VLOOKUP($H19,Tbl_vehical_Settings,5,0),
$G19="Custom Fuel",VLOOKUP($M19,Tbl_Fuel_Settings,5,0),
$G19="Weight Distance (e.g. Freight Transport)",VLOOKUP($H19,INDIRECT("Ref_EF_Weight_Distance"&amp;"_"&amp;$C19),4,0),
$G19="Passenger Distance (e.g. Public Transport)",VLOOKUP($H19,INDIRECT("Ref_EF_Public_Transport"&amp;"_"&amp;$C19),4,0)),"")</f>
        <v/>
      </c>
      <c r="AE19" s="31" t="str" cm="1">
        <f t="array" aca="1" ref="AE19" ca="1">IFERROR(_xlfn.IFS(
OR($G19="Fuel Use",$G19="Fuel Use and Vehicle Distance"),VLOOKUP($M19,INDIRECT("Ref_EF_ByFuel"&amp;"_"&amp;$C19),5,0),
$G19="Vehicle Distance (e.g. Road Transport)",VLOOKUP($H19,INDIRECT("Ref_EF_Vehicle_Distance"&amp;"_"&amp;$C19),5,0),
$G19="Vehicle Distance (e.g. Public or Freight Transport)",VLOOKUP($H19,INDIRECT("Ref_EF_Vehicle_Distance_S3"&amp;"_"&amp;$C19),5,0),
$G19="Custom Vehicle",VLOOKUP($H19,Tbl_vehical_Settings,6,0),
$G19="Custom Fuel",VLOOKUP($M19,Tbl_Fuel_Settings,6,0),
$G19="Weight Distance (e.g. Freight Transport)",VLOOKUP($H19,INDIRECT("Ref_EF_Weight_Distance"&amp;"_"&amp;$C19),5,0),
$G19="Passenger Distance (e.g. Public Transport)",VLOOKUP($H19,INDIRECT("Ref_EF_Public_Transport"&amp;"_"&amp;$C19),5,0)),"")</f>
        <v/>
      </c>
      <c r="AF19" s="31" t="str" cm="1">
        <f t="array" aca="1" ref="AF19" ca="1">IFERROR(_xlfn.IFS(
OR($G19="Fuel Use",$G19="Fuel Use and Vehicle Distance"),VLOOKUP($M19,INDIRECT("Ref_EF_ByFuel"&amp;"_"&amp;$C19),6,0),
$G19="Vehicle Distance (e.g. Road Transport)",VLOOKUP($H19,INDIRECT("Ref_EF_Vehicle_Distance"&amp;"_"&amp;$C19),6,0),
$G19="Vehicle Distance (e.g. Public or Freight Transport)",VLOOKUP($H19,INDIRECT("Ref_EF_Vehicle_Distance_S3"&amp;"_"&amp;$C19),6,0),
$G19="Custom Vehicle",VLOOKUP($H19,Tbl_vehical_Settings,7,0),
$G19="Custom Fuel",VLOOKUP($M19,Tbl_Fuel_Settings,7,0),
$G19="Weight Distance (e.g. Freight Transport)",VLOOKUP($H19,INDIRECT("Ref_EF_Weight_Distance"&amp;"_"&amp;$C19),6,0),
$G19="Passenger Distance (e.g. Public Transport)",VLOOKUP($H19,INDIRECT("Ref_EF_Public_Transport"&amp;"_"&amp;$C19),6,0)),"")</f>
        <v/>
      </c>
      <c r="AG19" s="31" t="str" cm="1">
        <f t="array" aca="1" ref="AG19" ca="1">IFERROR(_xlfn.IFS(
AND($G19="Fuel Use",$E19&lt;&gt;"Road"),VLOOKUP($H19,INDIRECT("Ref_EF_ByFuel_CH4"&amp;"_"&amp;$C19),3,0),
$G19="Vehicle Distance (e.g. Road Transport)",VLOOKUP($H19,INDIRECT("Ref_EF_Vehicle_Distance"&amp;"_"&amp;$C19),7,0),
$G19="Vehicle Distance (e.g. Public or Freight Transport)",VLOOKUP($H19,INDIRECT("Ref_EF_Vehicle_Distance_S3"&amp;"_"&amp;$C19),7,0),
$G19="Fuel Use and Vehicle Distance",VLOOKUP($H19,INDIRECT("Ref_EF_Fuel_Vehicle_Distance"&amp;"_"&amp;$C19),3,0),
$G19="Custom Vehicle",VLOOKUP($H19,Tbl_vehical_Settings,3,0),
$G19="Custom Fuel",VLOOKUP($M19,Tbl_Fuel_Settings,3,0),
$G19="Weight Distance (e.g. Freight Transport)",VLOOKUP($H19,INDIRECT("Ref_EF_Weight_Distance_CH4"&amp;"_"&amp;$C19),3,0),
$G19="Passenger Distance (e.g. Public Transport)",VLOOKUP($H19,INDIRECT("Ref_EF_Public_Transport_CH4"&amp;"_"&amp;$C19),7,0)),"")</f>
        <v/>
      </c>
      <c r="AH19" s="31" t="str" cm="1">
        <f t="array" aca="1" ref="AH19" ca="1">IFERROR(_xlfn.IFS(
AND($G19="Fuel Use",$E19&lt;&gt;"Road"),VLOOKUP($H19,INDIRECT("Ref_EF_ByFuel_CH4"&amp;"_"&amp;$C19),4,0),
$G19="Vehicle Distance (e.g. Road Transport)",VLOOKUP($H19,INDIRECT("Ref_EF_Vehicle_Distance"&amp;"_"&amp;$C19),8,0),
$G19="Vehicle Distance (e.g. Public or Freight Transport)",VLOOKUP($H19,INDIRECT("Ref_EF_Vehicle_Distance_S3"&amp;"_"&amp;$C19),8,0),
$G19="Fuel Use and Vehicle Distance",VLOOKUP($H19,INDIRECT("Ref_EF_Fuel_Vehicle_Distance"&amp;"_"&amp;$C19),4,0),
$G19="Custom Vehicle",VLOOKUP($H19,Tbl_vehical_Settings,6,0),
$G19="Custom Fuel",VLOOKUP($M19,Tbl_Fuel_Settings,6,0),
$G19="Weight Distance (e.g. Freight Transport)",VLOOKUP($H19,INDIRECT("Ref_EF_Weight_Distance_CH4"&amp;"_"&amp;$C19),4,0),
$G19="Passenger Distance (e.g. Public Transport)",VLOOKUP($H19,INDIRECT("Ref_EF_Public_Transport_CH4"&amp;"_"&amp;$C19),8,0)),"")</f>
        <v/>
      </c>
      <c r="AI19" s="31" t="str" cm="1">
        <f t="array" aca="1" ref="AI19" ca="1">IFERROR(_xlfn.IFS(
AND($G19="Fuel Use",$E19&lt;&gt;"Road"),VLOOKUP($H19,INDIRECT("Ref_EF_ByFuel_CH4"&amp;"_"&amp;$C19),5,0),
$G19="Vehicle Distance (e.g. Road Transport)",VLOOKUP($H19,INDIRECT("Ref_EF_Vehicle_Distance"&amp;"_"&amp;$C19),9,0),
$G19="Vehicle Distance (e.g. Public or Freight Transport)",VLOOKUP($H19,INDIRECT("Ref_EF_Vehicle_Distance_S3"&amp;"_"&amp;$C19),9,0),
$G19="Fuel Use and Vehicle Distance",VLOOKUP($H19,INDIRECT("Ref_EF_Fuel_Vehicle_Distance"&amp;"_"&amp;$C19),5,0),
$G19="Custom Vehicle",VLOOKUP($H19,Tbl_vehical_Settings,7,0),
$G19="Custom Fuel",VLOOKUP($M19,Tbl_Fuel_Settings,7,0),
$G19="Weight Distance (e.g. Freight Transport)",VLOOKUP($H19,INDIRECT("Ref_EF_Weight_Distance_CH4"&amp;"_"&amp;$C19),5,0),
$G19="Passenger Distance (e.g. Public Transport)",VLOOKUP($H19,INDIRECT("Ref_EF_Public_Transport_CH4"&amp;"_"&amp;$C19),9,0)),"")</f>
        <v/>
      </c>
      <c r="AJ19" s="31" t="str" cm="1">
        <f t="array" aca="1" ref="AJ19" ca="1">IFERROR(_xlfn.IFS(
AND($G19="Fuel Use",$E19&lt;&gt;"Road"),VLOOKUP($H19,INDIRECT("Ref_EF_ByFuel_CH4"&amp;"_"&amp;$C19),6,0),
$G19="Vehicle Distance (e.g. Road Transport)",VLOOKUP($H19,INDIRECT("Ref_EF_Vehicle_Distance"&amp;"_"&amp;$C19),10,0),
$G19="Vehicle Distance (e.g. Public or Freight Transport)",VLOOKUP($H19,INDIRECT("Ref_EF_Vehicle_Distance_S3"&amp;"_"&amp;$C19),10,0),
$G19="Fuel Use and Vehicle Distance",VLOOKUP($H19,INDIRECT("Ref_EF_Fuel_Vehicle_Distance"&amp;"_"&amp;$C19),6,0),
$G19="Custom Vehicle",VLOOKUP($H19,Tbl_vehical_Settings,4,0),
$G19="Custom Fuel",VLOOKUP($M19,Tbl_Fuel_Settings,4,0),
$G19="Weight Distance (e.g. Freight Transport)",VLOOKUP($H19,INDIRECT("Ref_EF_Weight_Distance_CH4"&amp;"_"&amp;$C19),6,0),
$G19="Passenger Distance (e.g. Public Transport)",VLOOKUP($H19,INDIRECT("Ref_EF_Public_Transport_CH4"&amp;"_"&amp;$C19),10,0)),"")</f>
        <v/>
      </c>
      <c r="AK19" s="31" t="str" cm="1">
        <f t="array" aca="1" ref="AK19" ca="1">IFERROR(_xlfn.IFS(
AND($G19="Fuel Use",$E19&lt;&gt;"Road"),VLOOKUP($H19,INDIRECT("Ref_EF_ByFuel_CH4"&amp;"_"&amp;$C19),7,0),
$G19="Vehicle Distance (e.g. Road Transport)",VLOOKUP($H19,INDIRECT("Ref_EF_Vehicle_Distance"&amp;"_"&amp;$C19),11,0),
$G19="Vehicle Distance (e.g. Public or Freight Transport)",VLOOKUP($H19,INDIRECT("Ref_EF_Vehicle_Distance_S3"&amp;"_"&amp;$C19),11,0),
$G19="Fuel Use and Vehicle Distance",VLOOKUP($H19,INDIRECT("Ref_EF_Fuel_Vehicle_Distance"&amp;"_"&amp;$C19),7,0),
$G19="Custom Vehicle",VLOOKUP($H19,Tbl_vehical_Settings,6,0),
$G19="Custom Fuel",VLOOKUP($M19,Tbl_Fuel_Settings,6,0),
$G19="Weight Distance (e.g. Freight Transport)",VLOOKUP($H19,INDIRECT("Ref_EF_Weight_Distance_CH4"&amp;"_"&amp;$C19),7,0),
$G19="Passenger Distance (e.g. Public Transport)",VLOOKUP($H19,INDIRECT("Ref_EF_Public_Transport_CH4"&amp;"_"&amp;$C19),11,0)),"")</f>
        <v/>
      </c>
      <c r="AL19" s="31" t="str" cm="1">
        <f t="array" aca="1" ref="AL19" ca="1">IFERROR(_xlfn.IFS(
AND($G19="Fuel Use",$E19&lt;&gt;"Road"),VLOOKUP($H19,INDIRECT("Ref_EF_ByFuel_CH4"&amp;"_"&amp;$C19),8,0),
$G19="Vehicle Distance (e.g. Road Transport)",VLOOKUP($H19,INDIRECT("Ref_EF_Vehicle_Distance"&amp;"_"&amp;$C19),12,0),
$G19="Vehicle Distance (e.g. Public or Freight Transport)",VLOOKUP($H19,INDIRECT("Ref_EF_Vehicle_Distance_S3"&amp;"_"&amp;$C19),12,0),
$G19="Fuel Use and Vehicle Distance",VLOOKUP($H19,INDIRECT("Ref_EF_Fuel_Vehicle_Distance"&amp;"_"&amp;$C19),8,0),
$G19="Custom Vehicle",VLOOKUP($H19,Tbl_vehical_Settings,7,0),
$G19="Custom Fuel",VLOOKUP($M19,Tbl_Fuel_Settings,7,0),
$G19="Weight Distance (e.g. Freight Transport)",VLOOKUP($H19,INDIRECT("Ref_EF_Weight_Distance_CH4"&amp;"_"&amp;$C19),8,0),
$G19="Passenger Distance (e.g. Public Transport)",VLOOKUP($H19,INDIRECT("Ref_EF_Public_Transport_CH4"&amp;"_"&amp;$C19),12,0)),"")</f>
        <v/>
      </c>
      <c r="AM19" s="31" t="e">
        <f ca="1">INDEX(Ref_Master_Unit_Table,MATCH($AB19,REF_To_Unit,0),MATCH('Reference - Lookup and Unit'!$A$11,Ref_From_Units,0))</f>
        <v>#N/A</v>
      </c>
      <c r="AN19" s="31" t="e">
        <f t="shared" ca="1" si="0"/>
        <v>#N/A</v>
      </c>
      <c r="AO19" s="31" t="e">
        <f ca="1">INDEX(Ref_Master_Unit_Table,MATCH($AE19,REF_To_Unit,0),MATCH('Reference - Lookup and Unit'!$A$11,Ref_From_Units,0))</f>
        <v>#N/A</v>
      </c>
      <c r="AP19" s="31" t="e">
        <f ca="1">INDEX(Ref_Master_Unit_Table,MATCH(IF(AND($C19="UK",$G19="Vehicle Distance (e.g. Road Transport)"),$J19,IF(ISBLANK(#REF!),$J19,#REF!)),Ref_From_Units,0),MATCH($AF19,REF_To_Unit,0))</f>
        <v>#REF!</v>
      </c>
      <c r="AQ19" s="31" t="e">
        <f ca="1">INDEX(Ref_Master_Unit_Table,MATCH($AH19,REF_To_Unit,0),MATCH('Reference - Lookup and Unit'!$A$11,Ref_From_Units,0))</f>
        <v>#N/A</v>
      </c>
      <c r="AR19" s="31" t="e">
        <f ca="1">INDEX(Ref_Master_Unit_Table,MATCH(IF(OR($G19="Fuel Use",$G19="Custom Fuel"),#REF!,$J19),Ref_From_Units,0),MATCH($AI19,REF_To_Unit,0))</f>
        <v>#N/A</v>
      </c>
      <c r="AS19" s="31" t="e">
        <f ca="1">INDEX(Ref_Master_Unit_Table,MATCH($AK19,REF_To_Unit,0),MATCH('Reference - Lookup and Unit'!$A$11,Ref_From_Units,0))</f>
        <v>#N/A</v>
      </c>
      <c r="AT19" s="31" t="e">
        <f ca="1">INDEX(Ref_Master_Unit_Table,MATCH(IF(OR($G19="Fuel Use",$G19="Custom Fuel"),#REF!,$J19),Ref_From_Units,0),MATCH($AI19,REF_To_Unit,0))</f>
        <v>#N/A</v>
      </c>
      <c r="AU19" s="31" t="e" cm="1">
        <f t="array" aca="1" ref="AU19"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19" s="31">
        <f t="shared" ca="1" si="48"/>
        <v>27.9</v>
      </c>
      <c r="AW19" s="31">
        <f t="shared" ca="1" si="49"/>
        <v>273</v>
      </c>
      <c r="AX19" s="31" t="e" cm="1">
        <f t="array" aca="1" ref="AX19"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19" s="25" t="e" cm="1">
        <f t="array" ref="AY19">_xlfn.IFS(
AND($E19&lt;&gt;"",$G19="Custom Fuel"),("Settings_Custom_Fuels"),
AND($E19&lt;&gt;"",$G19="Custom vehicle"),("Settings_Custom_Vehicle"),
AND($E19&lt;&gt;"",$G19="Fuel Use"),("Ref_DD_vehicle_FuelUse"&amp;"_"&amp;C19&amp;"_"&amp;E19),
AND($E19&lt;&gt;"",$G19="Fuel Use and Vehicle Distance"),("Ref_DD_Fuel_VehicleDistance"&amp;"_"&amp;C19&amp;"_"&amp;E19),
AND($E19&lt;&gt;"",$G19="Vehicle Distance (e.g. Road Transport)"),("Ref_DD_vehicle_VehicleDistance"&amp;"_"&amp;C19&amp;"_"&amp;E19),
AND($E19&lt;&gt;"",$G19="Weight Distance (e.g. Freight Transport)"),("Ref_DD_vehicle_WeightDistance"&amp;"_"&amp;C19&amp;"_"&amp;E19),
AND($E19&lt;&gt;"",$G19="Vehicle Distance (e.g. Public or Freight Transport)"),("Ref_DD_vehicle_DistanceS3"&amp;"_"&amp;C19),
AND($E19&lt;&gt;"",$G19="Passenger Distance (e.g. Public Transport)"),("Ref_DD_vehicle_Passenger"&amp;"_"&amp;C19&amp;"_"&amp;E19),
AND($E19="",$G19="Fuel Use"),("Ref_DD_vehicle_FuelUse"&amp;"_"&amp;C19),
AND($E19="",OR($G19="Vehicle Distance (e.g. Road Transport)",$G19="Fuel Use and Vehicle Distance")),("Ref_DD_vehicle_VehicleDistance"&amp;"_"&amp;C19),
AND($E19="",$G19="Weight Distance (e.g. Freight Transport)"),("Ref_DD_vehicle_WeightDistance"&amp;"_"&amp;C19),
AND($E19="",$G19="Vehicle Distance (e.g. Public or Freight Transport)"),("Ref_DD_vehicle_DistanceS3"&amp;"_"&amp;C19),
AND($E19="",$G19="Passenger Distance (e.g. Public Transport)"),("Ref_DD_vehicle_Passenger"&amp;"_"&amp;C19))</f>
        <v>#N/A</v>
      </c>
      <c r="AZ19" s="25" t="b">
        <f t="shared" ca="1" si="4"/>
        <v>0</v>
      </c>
      <c r="BA19" s="25" t="str">
        <f t="shared" si="5"/>
        <v/>
      </c>
      <c r="BB19" s="25" t="str">
        <f t="shared" si="6"/>
        <v/>
      </c>
      <c r="BC19" s="25" t="str">
        <f t="shared" si="50"/>
        <v/>
      </c>
      <c r="BD19" s="25" t="str">
        <f t="shared" si="51"/>
        <v/>
      </c>
      <c r="BE19" s="25" t="str">
        <f t="shared" si="52"/>
        <v/>
      </c>
      <c r="BF19" s="25" t="str">
        <f t="shared" si="53"/>
        <v/>
      </c>
      <c r="BG19" s="25" t="str">
        <f t="shared" si="7"/>
        <v/>
      </c>
      <c r="BH19" s="25" t="str">
        <f t="shared" si="8"/>
        <v/>
      </c>
      <c r="BI19" s="25" t="str">
        <f t="shared" si="54"/>
        <v/>
      </c>
      <c r="BJ19" s="25" t="str">
        <f t="shared" si="55"/>
        <v/>
      </c>
      <c r="BK19" s="25" t="str">
        <f t="shared" si="56"/>
        <v/>
      </c>
      <c r="BL19" s="25" t="str">
        <f t="shared" si="57"/>
        <v/>
      </c>
      <c r="BM19" s="25" t="str">
        <f t="shared" si="9"/>
        <v/>
      </c>
      <c r="BN19" s="25" t="str">
        <f t="shared" ca="1" si="10"/>
        <v/>
      </c>
      <c r="BO19" s="25" t="str">
        <f t="shared" si="11"/>
        <v/>
      </c>
      <c r="BP19" s="25" t="str">
        <f t="shared" si="12"/>
        <v/>
      </c>
      <c r="BQ19" s="25" t="str">
        <f t="shared" si="13"/>
        <v/>
      </c>
      <c r="BR19" s="25" t="str">
        <f t="shared" si="14"/>
        <v/>
      </c>
      <c r="BS19" s="25" t="str">
        <f t="shared" si="15"/>
        <v/>
      </c>
      <c r="BT19" s="25" t="str">
        <f t="shared" si="16"/>
        <v/>
      </c>
      <c r="BU19" s="25" t="str">
        <f t="shared" si="17"/>
        <v/>
      </c>
      <c r="BV19" s="25" t="str">
        <f t="shared" si="18"/>
        <v/>
      </c>
      <c r="BW19" s="25" t="str">
        <f t="shared" si="19"/>
        <v/>
      </c>
      <c r="BX19" s="25" t="str">
        <f t="shared" si="20"/>
        <v/>
      </c>
      <c r="BY19" s="25" t="str">
        <f t="shared" si="21"/>
        <v/>
      </c>
      <c r="BZ19" s="25" t="str">
        <f t="shared" si="22"/>
        <v/>
      </c>
      <c r="CA19" s="25" t="str">
        <f t="shared" si="23"/>
        <v/>
      </c>
      <c r="CB19" s="25" t="str">
        <f t="shared" si="24"/>
        <v/>
      </c>
      <c r="CC19" s="25" t="str">
        <f t="shared" si="25"/>
        <v/>
      </c>
      <c r="CD19" s="25" t="str">
        <f t="shared" si="26"/>
        <v/>
      </c>
      <c r="CE19" s="25" t="str">
        <f t="shared" si="27"/>
        <v/>
      </c>
      <c r="CF19" s="25" t="str">
        <f t="shared" si="28"/>
        <v/>
      </c>
      <c r="CG19" s="25" t="str">
        <f t="shared" si="29"/>
        <v/>
      </c>
      <c r="CH19" s="25" t="str">
        <f t="shared" si="30"/>
        <v/>
      </c>
      <c r="CI19" s="25" t="str">
        <f t="shared" si="31"/>
        <v/>
      </c>
      <c r="CJ19" s="25" t="str">
        <f t="shared" si="32"/>
        <v/>
      </c>
      <c r="CK19" s="25" t="str">
        <f t="shared" si="33"/>
        <v/>
      </c>
      <c r="CL19" s="25" t="str">
        <f t="shared" si="34"/>
        <v/>
      </c>
      <c r="CM19" s="25" t="str">
        <f t="shared" si="35"/>
        <v/>
      </c>
      <c r="CN19" s="25" t="str">
        <f t="shared" si="36"/>
        <v/>
      </c>
      <c r="CO19" s="25" t="str">
        <f t="shared" si="37"/>
        <v/>
      </c>
      <c r="CP19" s="25" t="str">
        <f t="shared" si="38"/>
        <v/>
      </c>
      <c r="CQ19" s="25" t="str">
        <f t="shared" si="39"/>
        <v/>
      </c>
      <c r="CR19" s="25" t="str">
        <f t="shared" si="40"/>
        <v/>
      </c>
      <c r="CS19" s="25" t="str">
        <f t="shared" si="41"/>
        <v/>
      </c>
      <c r="CT19" s="25" t="str">
        <f t="shared" si="42"/>
        <v/>
      </c>
      <c r="CU19" s="25" t="str">
        <f t="shared" si="43"/>
        <v/>
      </c>
      <c r="CV19" s="25" t="str">
        <f t="shared" si="44"/>
        <v/>
      </c>
      <c r="CW19" s="25" t="str">
        <f t="shared" si="45"/>
        <v/>
      </c>
      <c r="CX19" s="25" t="str" cm="1">
        <f t="array" ref="CX19">_xlfn.IFNA(_xlfn.IFS(
$G19="Weight Distance (e.g. Freight Transport)","Ref_DD_WeightDistanceUnits",
$G19="Passenger Distance (e.g. Public Transport)","Ref_DD_PasengerDistanceUnits",
$G19="Vehicle Distance (e.g. Road Transport)", "Ref_DD_DistanceUnit",
$G19="Vehicle Distance (e.g. Public or Freight Transport)","Ref_DD_DistanceUnit",
$G19="Fuel Use and Vehicle Distance", "Ref_DD_DistanceUnit",
$G19="Custom Vehicle",VLOOKUP($H19,'2. Settings'!$B$39:$I$54,8,FALSE)),"")</f>
        <v/>
      </c>
      <c r="CY19" s="27" t="str">
        <f ca="1">IF(AND(ISERROR(#REF!*$AU19)=TRUE,ISERROR((S19/1000)*$AV19)=TRUE,ISERROR((T19/1000)*$AW19)=FALSE),((T19/1000)*$AW19),"")</f>
        <v/>
      </c>
      <c r="CZ19" s="27" cm="1">
        <f t="array" ref="CZ19">IFERROR(_xlfn.IFS(
AND($G19="Custom vehicle",OR($J19="Passenger Mile",$J19="Passenger Kilometer")),"Passenger Distance (e.g. Public Transport)",
AND($G19="Custom vehicle",OR($J19="Tonne Mile",$J19="Tonne Kilometer",$J19="Short Ton Kilometer",$J19="Short Ton Mile")),"Weight Distance (e.g. Freight Transport)",
AND($G19="Custom vehicle",OR($J19="Mile",$J19="Kilometer")),"Vehicle Distance (e.g. Road Transport)",
$G19&lt;&gt;"Custom vehicle",$G19),"")</f>
        <v>0</v>
      </c>
      <c r="DA19" s="27" t="str" cm="1">
        <f t="array" ref="DA19">IFERROR(_xlfn.IFS(OR(J19="Tonne Kilometer",J19="Tonne Mile",J19="Short Ton Mile",J19="Short Ton Kilometer"),I19*K19,OR(J19="Passenger Kilometer",J19="Passenger Mile"),I19*L19,OR(J19="Kilometer",J19="Mile"),$I19),"")</f>
        <v/>
      </c>
    </row>
    <row r="20" spans="2:105" x14ac:dyDescent="0.25">
      <c r="B20" s="244"/>
      <c r="C20" s="71" t="str" cm="1">
        <f t="array" ref="C20">IFERROR(_xlfn.IFS($D20="Other", D20&amp;"_" &amp;Ref_Other_to,OR($D20="UK", $D20="US"),$D20),"")</f>
        <v/>
      </c>
      <c r="D20" s="71"/>
      <c r="E20" s="71"/>
      <c r="F20" s="71"/>
      <c r="G20" s="72"/>
      <c r="H20" s="72"/>
      <c r="I20" s="73"/>
      <c r="J20" s="73"/>
      <c r="K20" s="73"/>
      <c r="L20" s="73"/>
      <c r="M20" s="74"/>
      <c r="N20" s="75"/>
      <c r="O20" s="71"/>
      <c r="P20" s="165" t="str">
        <f t="shared" si="58"/>
        <v/>
      </c>
      <c r="Q20" s="166" t="str">
        <f t="shared" si="46"/>
        <v/>
      </c>
      <c r="R20" s="76" t="str" cm="1">
        <f t="array" aca="1" ref="R20" ca="1">IFERROR(_xlfn.IFS(
AND(AA20&gt;0, OR($G20="Fuel Use",$G20="Custom Fuel")),$N20*$AA20*$AM20*$AN20,
AND(AA20&gt;0,$CZ20="Vehicle Distance (e.g. Road Transport)"),$I20*$AA20*$AM20*$AN20,
AND(AA20&gt;0,$CZ20="Vehicle Distance (e.g. Public or Freight Transport)"),$I20*$AA20*$AM20*$AN20,
AND(AA20&gt;0,$CZ20="Fuel Use and Vehicle Distance"),$N20*$AA20*$AM20*$AN20,
AND(AA20&gt;0,$CZ20="Passenger Distance (e.g. Public Transport)"),$DA20*$AA20*$AM20*$AN20,
AND(AA20&gt;0,$CZ20="Weight Distance (e.g. Freight Transport)"),$DA20*$AA20*$AM20*$AN20),"")</f>
        <v/>
      </c>
      <c r="S20" s="77" t="str" cm="1">
        <f t="array" aca="1" ref="S20" ca="1">IFERROR(_xlfn.IFS(
AND(AG20&gt;-1, $G20="Fuel Use and Vehicle Distance"),$I20*$AG20*$AQ20*$AR20,
AND(AG20&gt;-1, $G20="Vehicle Distance (e.g. Road Transport)"),$I20*$AG20*$AQ20*$AR20,
AND(AG20&gt;-1, $CZ20="Vehicle Distance (e.g. Public or Freight Transport)"),$I20*$AG20*$AQ20*$AR20,
AND(AG20&gt;-1, OR($G20="Fuel Use",$G20="Custom Fuel")), $N20*$AG20*$AQ20*$AR20*1000,
AND(AG20&gt;-1, $G20="Custom Vehicle"),$DA20*$AG20*$AQ20*$AR20*1000,
AND(AG20&gt;-1, AND($G20&lt;&gt;"Custom Vehicle",$CZ20="Weight Distance (e.g. Freight Transport)")),$DA20*$AG20*$AQ20*$AR20*1000,
AND(AG20&gt;-1, AND($G20&lt;&gt;"Custom Vehicle",$CZ20="Passenger Distance (e.g. Public Transport)")), $DA20*$AG20*$AQ20*$AR20*1000),"")</f>
        <v/>
      </c>
      <c r="T20" s="77" t="str" cm="1">
        <f t="array" aca="1" ref="T20" ca="1">IFERROR(_xlfn.IFS(
AND(AJ20&gt;0,$G20="Fuel Use and Vehicle Distance"),$I20*$AJ20*$AS20*$AT20,
AND(AJ20&gt;0,$G20="Vehicle Distance (e.g. Road Transport)"),$I20*$AJ20*$AS20*$AT20,
AND(AJ20&gt;0,$G20="Vehicle Distance (e.g. Public or Freight Transport)"),$I20*$AJ20*$AS20*$AT20,
AND(AJ20&gt;0,OR($G20="Fuel Use",$G20="Custom Fuel")), $N20*$AJ20*$AS20*$AT20*1000,
AND(AJ20&gt;0,$G20="Custom Vehicle"),$DA20*$AJ20*$AS20*$AT20*1000,
AND(AJ20&gt;0,AND($G20&lt;&gt;"Custom Vehicle",$CZ20="Weight Distance (e.g. Freight Transport)")),$DA20*$AJ20*$AS20*$AT20*1000,
AND(AJ20&gt;0,AND($G20&lt;&gt;"Custom Vehicle",$CZ20="Passenger Distance (e.g. Public Transport)")), $DA20*$AJ20*$AS20*$AT20*1000),"")</f>
        <v/>
      </c>
      <c r="U20" s="78" t="str">
        <f t="shared" ca="1" si="47"/>
        <v/>
      </c>
      <c r="V20" s="161" t="str" cm="1">
        <f t="array" aca="1" ref="V20" ca="1">IFERROR(_xlfn.IFS(
AND(AD20&gt;0,OR($CZ20="Fuel Use",$CZ20="Custom Fuel",$CZ20="Fuel Use and Vehicle Distance")),($N20*$AD20*$AO20*$AP20),
AND(AD20&gt;0,$G20="Custom Vehicle"),$DA20*$AD20*$AO20*$AP20,
AND(AD20&gt;0,$CZ20="Vehicle Distance (e.g. Public or Freight Transport)"),$I20*$AD20*$AM20*$AN20,
AND(AD20&gt;0,$CZ20="Weight Distance (e.g. Freight Transport)"),($I20*$K20*$AD20*$AO20*$AP20),
AND(AD20&gt;0,$CZ20="Passenger Distance (e.g. Public Transport)"),$I20*$L20*$AD20*$AO20*$AP20,
AND(AD20&gt;0,$CZ20="Vehicle Distance (e.g. Road Transport)"),($I20*$AD20*$AO20*$AP20)),"")</f>
        <v/>
      </c>
      <c r="W20" s="164" t="str" cm="1">
        <f t="array" aca="1" ref="W20" ca="1">IFERROR(_xlfn.IFS(AND(ISNUMBER(R20),AA20=0),AA20&amp;" "&amp;"("&amp;AB20&amp;" CO2/"&amp;AC20&amp;")",AND(ISNUMBER(R20),AA20&gt;0),ROUND(AA20,INT(3-LOG(AA20)))&amp;" "&amp;"("&amp;AB20&amp;" CO2/"&amp;AC20&amp;")"),"")</f>
        <v/>
      </c>
      <c r="X20" s="164" t="str" cm="1">
        <f t="array" aca="1" ref="X20" ca="1">IFERROR(_xlfn.IFS(AND(ISNUMBER(S20), AG20=0),AG20&amp;" "&amp;"("&amp;AH20&amp;" CH4/"&amp;AI20&amp;")",AND(ISNUMBER(S20), AG20&gt;0),ROUND(AG20,INT(3-LOG(AG20)))&amp;" "&amp;"("&amp;AH20&amp;" CH4/"&amp;AI20&amp;")"),"")</f>
        <v/>
      </c>
      <c r="Y20" s="164" t="str" cm="1">
        <f t="array" aca="1" ref="Y20" ca="1">IFERROR(_xlfn.IFS(AND(ISNUMBER(T20), AJ20=0),AJ20&amp;" "&amp;"("&amp;AK20&amp;" CH4/"&amp;AL20&amp;")",AND(ISNUMBER(T20), AJ20&gt;0),ROUND(AJ20,INT(3-LOG(AJ20)))&amp;" "&amp;"("&amp;AK20&amp;" N2O/"&amp;AL20&amp;")"),"")</f>
        <v/>
      </c>
      <c r="Z20" s="245" t="str" cm="1">
        <f t="array" aca="1" ref="Z20" ca="1">IFERROR(_xlfn.IFS(AND(ISNUMBER(V20),AD20=0),AD20&amp;" "&amp;"("&amp;AE20&amp;" CO2/"&amp;AF20&amp;")",AND(ISNUMBER(V20),AD20&gt;0),ROUND(AD20,INT(3-LOG(AD20)))&amp;" "&amp;"("&amp;AE20&amp;" CO2/"&amp;AF20&amp;")"),"")</f>
        <v/>
      </c>
      <c r="AA20" s="240" t="str" cm="1">
        <f t="array" aca="1" ref="AA20" ca="1">IFERROR(_xlfn.IFS(
OR($G20="Fuel Use",$G20="Fuel Use and Vehicle Distance"),VLOOKUP($M20,INDIRECT("Ref_EF_ByFuel"&amp;"_"&amp;$C20),3,0),
$G20="Vehicle Distance (e.g. Road Transport)",VLOOKUP($H20,INDIRECT("Ref_EF_Vehicle_Distance"&amp;"_"&amp;$C20),3,0),
$G20="Vehicle Distance (e.g. Public or Freight Transport)",VLOOKUP($H20,INDIRECT("Ref_EF_Vehicle_Distance_S3"&amp;"_"&amp;$C20),3,0),
$G20="Custom Vehicle",VLOOKUP($H20,Tbl_vehical_Settings,2,0),
$G20="Custom Fuel",VLOOKUP($M20,Tbl_Fuel_Settings,2,0),
$G20="Weight Distance (e.g. Freight Transport)",VLOOKUP($H20,INDIRECT("Ref_EF_Weight_Distance"&amp;"_"&amp;$C20),3,0),
$G20="Passenger Distance (e.g. Public Transport)",VLOOKUP($H20,INDIRECT("Ref_EF_Public_Transport"&amp;"_"&amp;$C20),3,0)),"")</f>
        <v/>
      </c>
      <c r="AB20" s="31" t="str" cm="1">
        <f t="array" aca="1" ref="AB20" ca="1">IFERROR(_xlfn.IFS(
OR($G20="Fuel Use",$G20="Fuel Use and Vehicle Distance"),VLOOKUP($M20,INDIRECT("Ref_EF_ByFuel"&amp;"_"&amp;$C20),5,0),
$G20="Vehicle Distance (e.g. Road Transport)",VLOOKUP($H20,INDIRECT("Ref_EF_Vehicle_Distance"&amp;"_"&amp;$C20),5,0),
$G20="Vehicle Distance (e.g. Public or Freight Transport)",VLOOKUP($H20,INDIRECT("Ref_EF_Vehicle_Distance_S3"&amp;"_"&amp;$C20),5,0),
$G20="Custom Vehicle",VLOOKUP($H20,Tbl_vehical_Settings,6,0),
$G20="Custom Fuel",VLOOKUP($M20,Tbl_Fuel_Settings,6,0),
$G20="Weight Distance (e.g. Freight Transport)",VLOOKUP($H20,INDIRECT("Ref_EF_Weight_Distance"&amp;"_"&amp;$C20),5,0),
$G20="Passenger Distance (e.g. Public Transport)",VLOOKUP($H20,INDIRECT("Ref_EF_Public_Transport"&amp;"_"&amp;$C20),5,0)),"")</f>
        <v/>
      </c>
      <c r="AC20" s="31" t="str" cm="1">
        <f t="array" aca="1" ref="AC20" ca="1">IFERROR(_xlfn.IFS(
OR($G20="Fuel Use",$G20="Fuel Use and Vehicle Distance"),VLOOKUP($M20,INDIRECT("Ref_EF_ByFuel"&amp;"_"&amp;$C20),6,0),
$G20="Vehicle Distance (e.g. Road Transport)",VLOOKUP($H20,INDIRECT("Ref_EF_Vehicle_Distance"&amp;"_"&amp;$C20),6,0),
$G20="Vehicle Distance (e.g. Public or Freight Transport)",VLOOKUP($H20,INDIRECT("Ref_EF_Vehicle_Distance_S3"&amp;"_"&amp;$C20),6,0),
$G20="Custom Vehicle",VLOOKUP($H20,Tbl_vehical_Settings,7,0),
$G20="Custom Fuel",VLOOKUP($M20,Tbl_Fuel_Settings,7,0),
$G20="Weight Distance (e.g. Freight Transport)",VLOOKUP($H20,INDIRECT("Ref_EF_Weight_Distance"&amp;"_"&amp;$C20),6,0),
$G20="Passenger Distance (e.g. Public Transport)",VLOOKUP($H20,INDIRECT("Ref_EF_Public_Transport"&amp;"_"&amp;$C20),6,0)),"")</f>
        <v/>
      </c>
      <c r="AD20" s="31" t="str" cm="1">
        <f t="array" aca="1" ref="AD20" ca="1">IFERROR(_xlfn.IFS(
OR($G20="Fuel Use",$G20="Fuel Use and Vehicle Distance"),VLOOKUP($M20,INDIRECT("Ref_EF_ByFuel"&amp;"_"&amp;$C20),4,0),
$G20="Vehicle Distance (e.g. Road Transport)",VLOOKUP($H20,INDIRECT("Ref_EF_Vehicle_Distance"&amp;"_"&amp;$C20),4,0),
$G20="Vehicle Distance (e.g. Public or Freight Transport)",VLOOKUP($H20,INDIRECT("Ref_EF_Vehicle_Distance_S3"&amp;"_"&amp;$C20),4,0),
$G20="Custom Vehicle",VLOOKUP($H20,Tbl_vehical_Settings,5,0),
$G20="Custom Fuel",VLOOKUP($M20,Tbl_Fuel_Settings,5,0),
$G20="Weight Distance (e.g. Freight Transport)",VLOOKUP($H20,INDIRECT("Ref_EF_Weight_Distance"&amp;"_"&amp;$C20),4,0),
$G20="Passenger Distance (e.g. Public Transport)",VLOOKUP($H20,INDIRECT("Ref_EF_Public_Transport"&amp;"_"&amp;$C20),4,0)),"")</f>
        <v/>
      </c>
      <c r="AE20" s="31" t="str" cm="1">
        <f t="array" aca="1" ref="AE20" ca="1">IFERROR(_xlfn.IFS(
OR($G20="Fuel Use",$G20="Fuel Use and Vehicle Distance"),VLOOKUP($M20,INDIRECT("Ref_EF_ByFuel"&amp;"_"&amp;$C20),5,0),
$G20="Vehicle Distance (e.g. Road Transport)",VLOOKUP($H20,INDIRECT("Ref_EF_Vehicle_Distance"&amp;"_"&amp;$C20),5,0),
$G20="Vehicle Distance (e.g. Public or Freight Transport)",VLOOKUP($H20,INDIRECT("Ref_EF_Vehicle_Distance_S3"&amp;"_"&amp;$C20),5,0),
$G20="Custom Vehicle",VLOOKUP($H20,Tbl_vehical_Settings,6,0),
$G20="Custom Fuel",VLOOKUP($M20,Tbl_Fuel_Settings,6,0),
$G20="Weight Distance (e.g. Freight Transport)",VLOOKUP($H20,INDIRECT("Ref_EF_Weight_Distance"&amp;"_"&amp;$C20),5,0),
$G20="Passenger Distance (e.g. Public Transport)",VLOOKUP($H20,INDIRECT("Ref_EF_Public_Transport"&amp;"_"&amp;$C20),5,0)),"")</f>
        <v/>
      </c>
      <c r="AF20" s="31" t="str" cm="1">
        <f t="array" aca="1" ref="AF20" ca="1">IFERROR(_xlfn.IFS(
OR($G20="Fuel Use",$G20="Fuel Use and Vehicle Distance"),VLOOKUP($M20,INDIRECT("Ref_EF_ByFuel"&amp;"_"&amp;$C20),6,0),
$G20="Vehicle Distance (e.g. Road Transport)",VLOOKUP($H20,INDIRECT("Ref_EF_Vehicle_Distance"&amp;"_"&amp;$C20),6,0),
$G20="Vehicle Distance (e.g. Public or Freight Transport)",VLOOKUP($H20,INDIRECT("Ref_EF_Vehicle_Distance_S3"&amp;"_"&amp;$C20),6,0),
$G20="Custom Vehicle",VLOOKUP($H20,Tbl_vehical_Settings,7,0),
$G20="Custom Fuel",VLOOKUP($M20,Tbl_Fuel_Settings,7,0),
$G20="Weight Distance (e.g. Freight Transport)",VLOOKUP($H20,INDIRECT("Ref_EF_Weight_Distance"&amp;"_"&amp;$C20),6,0),
$G20="Passenger Distance (e.g. Public Transport)",VLOOKUP($H20,INDIRECT("Ref_EF_Public_Transport"&amp;"_"&amp;$C20),6,0)),"")</f>
        <v/>
      </c>
      <c r="AG20" s="31" t="str" cm="1">
        <f t="array" aca="1" ref="AG20" ca="1">IFERROR(_xlfn.IFS(
AND($G20="Fuel Use",$E20&lt;&gt;"Road"),VLOOKUP($H20,INDIRECT("Ref_EF_ByFuel_CH4"&amp;"_"&amp;$C20),3,0),
$G20="Vehicle Distance (e.g. Road Transport)",VLOOKUP($H20,INDIRECT("Ref_EF_Vehicle_Distance"&amp;"_"&amp;$C20),7,0),
$G20="Vehicle Distance (e.g. Public or Freight Transport)",VLOOKUP($H20,INDIRECT("Ref_EF_Vehicle_Distance_S3"&amp;"_"&amp;$C20),7,0),
$G20="Fuel Use and Vehicle Distance",VLOOKUP($H20,INDIRECT("Ref_EF_Fuel_Vehicle_Distance"&amp;"_"&amp;$C20),3,0),
$G20="Custom Vehicle",VLOOKUP($H20,Tbl_vehical_Settings,3,0),
$G20="Custom Fuel",VLOOKUP($M20,Tbl_Fuel_Settings,3,0),
$G20="Weight Distance (e.g. Freight Transport)",VLOOKUP($H20,INDIRECT("Ref_EF_Weight_Distance_CH4"&amp;"_"&amp;$C20),3,0),
$G20="Passenger Distance (e.g. Public Transport)",VLOOKUP($H20,INDIRECT("Ref_EF_Public_Transport_CH4"&amp;"_"&amp;$C20),7,0)),"")</f>
        <v/>
      </c>
      <c r="AH20" s="31" t="str" cm="1">
        <f t="array" aca="1" ref="AH20" ca="1">IFERROR(_xlfn.IFS(
AND($G20="Fuel Use",$E20&lt;&gt;"Road"),VLOOKUP($H20,INDIRECT("Ref_EF_ByFuel_CH4"&amp;"_"&amp;$C20),4,0),
$G20="Vehicle Distance (e.g. Road Transport)",VLOOKUP($H20,INDIRECT("Ref_EF_Vehicle_Distance"&amp;"_"&amp;$C20),8,0),
$G20="Vehicle Distance (e.g. Public or Freight Transport)",VLOOKUP($H20,INDIRECT("Ref_EF_Vehicle_Distance_S3"&amp;"_"&amp;$C20),8,0),
$G20="Fuel Use and Vehicle Distance",VLOOKUP($H20,INDIRECT("Ref_EF_Fuel_Vehicle_Distance"&amp;"_"&amp;$C20),4,0),
$G20="Custom Vehicle",VLOOKUP($H20,Tbl_vehical_Settings,6,0),
$G20="Custom Fuel",VLOOKUP($M20,Tbl_Fuel_Settings,6,0),
$G20="Weight Distance (e.g. Freight Transport)",VLOOKUP($H20,INDIRECT("Ref_EF_Weight_Distance_CH4"&amp;"_"&amp;$C20),4,0),
$G20="Passenger Distance (e.g. Public Transport)",VLOOKUP($H20,INDIRECT("Ref_EF_Public_Transport_CH4"&amp;"_"&amp;$C20),8,0)),"")</f>
        <v/>
      </c>
      <c r="AI20" s="31" t="str" cm="1">
        <f t="array" aca="1" ref="AI20" ca="1">IFERROR(_xlfn.IFS(
AND($G20="Fuel Use",$E20&lt;&gt;"Road"),VLOOKUP($H20,INDIRECT("Ref_EF_ByFuel_CH4"&amp;"_"&amp;$C20),5,0),
$G20="Vehicle Distance (e.g. Road Transport)",VLOOKUP($H20,INDIRECT("Ref_EF_Vehicle_Distance"&amp;"_"&amp;$C20),9,0),
$G20="Vehicle Distance (e.g. Public or Freight Transport)",VLOOKUP($H20,INDIRECT("Ref_EF_Vehicle_Distance_S3"&amp;"_"&amp;$C20),9,0),
$G20="Fuel Use and Vehicle Distance",VLOOKUP($H20,INDIRECT("Ref_EF_Fuel_Vehicle_Distance"&amp;"_"&amp;$C20),5,0),
$G20="Custom Vehicle",VLOOKUP($H20,Tbl_vehical_Settings,7,0),
$G20="Custom Fuel",VLOOKUP($M20,Tbl_Fuel_Settings,7,0),
$G20="Weight Distance (e.g. Freight Transport)",VLOOKUP($H20,INDIRECT("Ref_EF_Weight_Distance_CH4"&amp;"_"&amp;$C20),5,0),
$G20="Passenger Distance (e.g. Public Transport)",VLOOKUP($H20,INDIRECT("Ref_EF_Public_Transport_CH4"&amp;"_"&amp;$C20),9,0)),"")</f>
        <v/>
      </c>
      <c r="AJ20" s="31" t="str" cm="1">
        <f t="array" aca="1" ref="AJ20" ca="1">IFERROR(_xlfn.IFS(
AND($G20="Fuel Use",$E20&lt;&gt;"Road"),VLOOKUP($H20,INDIRECT("Ref_EF_ByFuel_CH4"&amp;"_"&amp;$C20),6,0),
$G20="Vehicle Distance (e.g. Road Transport)",VLOOKUP($H20,INDIRECT("Ref_EF_Vehicle_Distance"&amp;"_"&amp;$C20),10,0),
$G20="Vehicle Distance (e.g. Public or Freight Transport)",VLOOKUP($H20,INDIRECT("Ref_EF_Vehicle_Distance_S3"&amp;"_"&amp;$C20),10,0),
$G20="Fuel Use and Vehicle Distance",VLOOKUP($H20,INDIRECT("Ref_EF_Fuel_Vehicle_Distance"&amp;"_"&amp;$C20),6,0),
$G20="Custom Vehicle",VLOOKUP($H20,Tbl_vehical_Settings,4,0),
$G20="Custom Fuel",VLOOKUP($M20,Tbl_Fuel_Settings,4,0),
$G20="Weight Distance (e.g. Freight Transport)",VLOOKUP($H20,INDIRECT("Ref_EF_Weight_Distance_CH4"&amp;"_"&amp;$C20),6,0),
$G20="Passenger Distance (e.g. Public Transport)",VLOOKUP($H20,INDIRECT("Ref_EF_Public_Transport_CH4"&amp;"_"&amp;$C20),10,0)),"")</f>
        <v/>
      </c>
      <c r="AK20" s="31" t="str" cm="1">
        <f t="array" aca="1" ref="AK20" ca="1">IFERROR(_xlfn.IFS(
AND($G20="Fuel Use",$E20&lt;&gt;"Road"),VLOOKUP($H20,INDIRECT("Ref_EF_ByFuel_CH4"&amp;"_"&amp;$C20),7,0),
$G20="Vehicle Distance (e.g. Road Transport)",VLOOKUP($H20,INDIRECT("Ref_EF_Vehicle_Distance"&amp;"_"&amp;$C20),11,0),
$G20="Vehicle Distance (e.g. Public or Freight Transport)",VLOOKUP($H20,INDIRECT("Ref_EF_Vehicle_Distance_S3"&amp;"_"&amp;$C20),11,0),
$G20="Fuel Use and Vehicle Distance",VLOOKUP($H20,INDIRECT("Ref_EF_Fuel_Vehicle_Distance"&amp;"_"&amp;$C20),7,0),
$G20="Custom Vehicle",VLOOKUP($H20,Tbl_vehical_Settings,6,0),
$G20="Custom Fuel",VLOOKUP($M20,Tbl_Fuel_Settings,6,0),
$G20="Weight Distance (e.g. Freight Transport)",VLOOKUP($H20,INDIRECT("Ref_EF_Weight_Distance_CH4"&amp;"_"&amp;$C20),7,0),
$G20="Passenger Distance (e.g. Public Transport)",VLOOKUP($H20,INDIRECT("Ref_EF_Public_Transport_CH4"&amp;"_"&amp;$C20),11,0)),"")</f>
        <v/>
      </c>
      <c r="AL20" s="31" t="str" cm="1">
        <f t="array" aca="1" ref="AL20" ca="1">IFERROR(_xlfn.IFS(
AND($G20="Fuel Use",$E20&lt;&gt;"Road"),VLOOKUP($H20,INDIRECT("Ref_EF_ByFuel_CH4"&amp;"_"&amp;$C20),8,0),
$G20="Vehicle Distance (e.g. Road Transport)",VLOOKUP($H20,INDIRECT("Ref_EF_Vehicle_Distance"&amp;"_"&amp;$C20),12,0),
$G20="Vehicle Distance (e.g. Public or Freight Transport)",VLOOKUP($H20,INDIRECT("Ref_EF_Vehicle_Distance_S3"&amp;"_"&amp;$C20),12,0),
$G20="Fuel Use and Vehicle Distance",VLOOKUP($H20,INDIRECT("Ref_EF_Fuel_Vehicle_Distance"&amp;"_"&amp;$C20),8,0),
$G20="Custom Vehicle",VLOOKUP($H20,Tbl_vehical_Settings,7,0),
$G20="Custom Fuel",VLOOKUP($M20,Tbl_Fuel_Settings,7,0),
$G20="Weight Distance (e.g. Freight Transport)",VLOOKUP($H20,INDIRECT("Ref_EF_Weight_Distance_CH4"&amp;"_"&amp;$C20),8,0),
$G20="Passenger Distance (e.g. Public Transport)",VLOOKUP($H20,INDIRECT("Ref_EF_Public_Transport_CH4"&amp;"_"&amp;$C20),12,0)),"")</f>
        <v/>
      </c>
      <c r="AM20" s="31" t="e">
        <f ca="1">INDEX(Ref_Master_Unit_Table,MATCH($AB20,REF_To_Unit,0),MATCH('Reference - Lookup and Unit'!$A$11,Ref_From_Units,0))</f>
        <v>#N/A</v>
      </c>
      <c r="AN20" s="31" t="e">
        <f t="shared" ca="1" si="0"/>
        <v>#N/A</v>
      </c>
      <c r="AO20" s="31" t="e">
        <f ca="1">INDEX(Ref_Master_Unit_Table,MATCH($AE20,REF_To_Unit,0),MATCH('Reference - Lookup and Unit'!$A$11,Ref_From_Units,0))</f>
        <v>#N/A</v>
      </c>
      <c r="AP20" s="31" t="e">
        <f ca="1">INDEX(Ref_Master_Unit_Table,MATCH(IF(AND($C20="UK",$G20="Vehicle Distance (e.g. Road Transport)"),$J20,IF(ISBLANK($O19),$J20,$O19)),Ref_From_Units,0),MATCH($AF20,REF_To_Unit,0))</f>
        <v>#N/A</v>
      </c>
      <c r="AQ20" s="31" t="e">
        <f ca="1">INDEX(Ref_Master_Unit_Table,MATCH($AH20,REF_To_Unit,0),MATCH('Reference - Lookup and Unit'!$A$11,Ref_From_Units,0))</f>
        <v>#N/A</v>
      </c>
      <c r="AR20" s="31" t="e">
        <f ca="1">INDEX(Ref_Master_Unit_Table,MATCH(IF(OR($G20="Fuel Use",$G20="Custom Fuel"),$O19,$J20),Ref_From_Units,0),MATCH($AI20,REF_To_Unit,0))</f>
        <v>#N/A</v>
      </c>
      <c r="AS20" s="31" t="e">
        <f ca="1">INDEX(Ref_Master_Unit_Table,MATCH($AK20,REF_To_Unit,0),MATCH('Reference - Lookup and Unit'!$A$11,Ref_From_Units,0))</f>
        <v>#N/A</v>
      </c>
      <c r="AT20" s="31" t="e">
        <f ca="1">INDEX(Ref_Master_Unit_Table,MATCH(IF(OR($G20="Fuel Use",$G20="Custom Fuel"),$O19,$J20),Ref_From_Units,0),MATCH($AI20,REF_To_Unit,0))</f>
        <v>#N/A</v>
      </c>
      <c r="AU20" s="31" t="e" cm="1">
        <f t="array" aca="1" ref="AU20"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20" s="31">
        <f t="shared" ca="1" si="48"/>
        <v>27.9</v>
      </c>
      <c r="AW20" s="31">
        <f t="shared" ca="1" si="49"/>
        <v>273</v>
      </c>
      <c r="AX20" s="31" t="e" cm="1">
        <f t="array" aca="1" ref="AX20"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20" s="25" t="e" cm="1">
        <f t="array" ref="AY20">_xlfn.IFS(
AND($E20&lt;&gt;"",$G20="Custom Fuel"),("Settings_Custom_Fuels"),
AND($E20&lt;&gt;"",$G20="Custom vehicle"),("Settings_Custom_Vehicle"),
AND($E20&lt;&gt;"",$G20="Fuel Use"),("Ref_DD_vehicle_FuelUse"&amp;"_"&amp;C20&amp;"_"&amp;E20),
AND($E20&lt;&gt;"",$G20="Fuel Use and Vehicle Distance"),("Ref_DD_Fuel_VehicleDistance"&amp;"_"&amp;C20&amp;"_"&amp;E20),
AND($E20&lt;&gt;"",$G20="Vehicle Distance (e.g. Road Transport)"),("Ref_DD_vehicle_VehicleDistance"&amp;"_"&amp;C20&amp;"_"&amp;E20),
AND($E20&lt;&gt;"",$G20="Weight Distance (e.g. Freight Transport)"),("Ref_DD_vehicle_WeightDistance"&amp;"_"&amp;C20&amp;"_"&amp;E20),
AND($E20&lt;&gt;"",$G20="Vehicle Distance (e.g. Public or Freight Transport)"),("Ref_DD_vehicle_DistanceS3"&amp;"_"&amp;C20),
AND($E20&lt;&gt;"",$G20="Passenger Distance (e.g. Public Transport)"),("Ref_DD_vehicle_Passenger"&amp;"_"&amp;C20&amp;"_"&amp;E20),
AND($E20="",$G20="Fuel Use"),("Ref_DD_vehicle_FuelUse"&amp;"_"&amp;C20),
AND($E20="",OR($G20="Vehicle Distance (e.g. Road Transport)",$G20="Fuel Use and Vehicle Distance")),("Ref_DD_vehicle_VehicleDistance"&amp;"_"&amp;C20),
AND($E20="",$G20="Weight Distance (e.g. Freight Transport)"),("Ref_DD_vehicle_WeightDistance"&amp;"_"&amp;C20),
AND($E20="",$G20="Vehicle Distance (e.g. Public or Freight Transport)"),("Ref_DD_vehicle_DistanceS3"&amp;"_"&amp;C20),
AND($E20="",$G20="Passenger Distance (e.g. Public Transport)"),("Ref_DD_vehicle_Passenger"&amp;"_"&amp;C20))</f>
        <v>#N/A</v>
      </c>
      <c r="AZ20" s="25" t="b">
        <f t="shared" ca="1" si="4"/>
        <v>0</v>
      </c>
      <c r="BA20" s="25" t="str">
        <f t="shared" si="5"/>
        <v/>
      </c>
      <c r="BB20" s="25" t="str">
        <f t="shared" si="6"/>
        <v/>
      </c>
      <c r="BC20" s="25" t="str">
        <f t="shared" si="50"/>
        <v/>
      </c>
      <c r="BD20" s="25" t="str">
        <f t="shared" si="51"/>
        <v/>
      </c>
      <c r="BE20" s="25" t="str">
        <f t="shared" si="52"/>
        <v/>
      </c>
      <c r="BF20" s="25" t="str">
        <f t="shared" si="53"/>
        <v/>
      </c>
      <c r="BG20" s="25" t="str">
        <f t="shared" si="7"/>
        <v/>
      </c>
      <c r="BH20" s="25" t="str">
        <f t="shared" si="8"/>
        <v/>
      </c>
      <c r="BI20" s="25" t="str">
        <f t="shared" si="54"/>
        <v/>
      </c>
      <c r="BJ20" s="25" t="str">
        <f t="shared" si="55"/>
        <v/>
      </c>
      <c r="BK20" s="25" t="str">
        <f t="shared" si="56"/>
        <v/>
      </c>
      <c r="BL20" s="25" t="str">
        <f t="shared" si="57"/>
        <v/>
      </c>
      <c r="BM20" s="25" t="str">
        <f t="shared" si="9"/>
        <v/>
      </c>
      <c r="BN20" s="25" t="str">
        <f t="shared" ca="1" si="10"/>
        <v/>
      </c>
      <c r="BO20" s="25" t="str">
        <f t="shared" si="11"/>
        <v/>
      </c>
      <c r="BP20" s="25" t="str">
        <f t="shared" si="12"/>
        <v/>
      </c>
      <c r="BQ20" s="25" t="str">
        <f t="shared" si="13"/>
        <v/>
      </c>
      <c r="BR20" s="25" t="str">
        <f t="shared" si="14"/>
        <v/>
      </c>
      <c r="BS20" s="25" t="str">
        <f t="shared" si="15"/>
        <v/>
      </c>
      <c r="BT20" s="25" t="str">
        <f t="shared" si="16"/>
        <v/>
      </c>
      <c r="BU20" s="25" t="str">
        <f t="shared" si="17"/>
        <v/>
      </c>
      <c r="BV20" s="25" t="str">
        <f t="shared" si="18"/>
        <v/>
      </c>
      <c r="BW20" s="25" t="str">
        <f t="shared" si="19"/>
        <v/>
      </c>
      <c r="BX20" s="25" t="str">
        <f t="shared" si="20"/>
        <v/>
      </c>
      <c r="BY20" s="25" t="str">
        <f t="shared" si="21"/>
        <v/>
      </c>
      <c r="BZ20" s="25" t="str">
        <f t="shared" si="22"/>
        <v/>
      </c>
      <c r="CA20" s="25" t="str">
        <f t="shared" si="23"/>
        <v/>
      </c>
      <c r="CB20" s="25" t="str">
        <f t="shared" si="24"/>
        <v/>
      </c>
      <c r="CC20" s="25" t="str">
        <f t="shared" si="25"/>
        <v/>
      </c>
      <c r="CD20" s="25" t="str">
        <f t="shared" si="26"/>
        <v/>
      </c>
      <c r="CE20" s="25" t="str">
        <f t="shared" si="27"/>
        <v/>
      </c>
      <c r="CF20" s="25" t="str">
        <f t="shared" si="28"/>
        <v/>
      </c>
      <c r="CG20" s="25" t="str">
        <f t="shared" si="29"/>
        <v/>
      </c>
      <c r="CH20" s="25" t="str">
        <f t="shared" si="30"/>
        <v/>
      </c>
      <c r="CI20" s="25" t="str">
        <f t="shared" si="31"/>
        <v/>
      </c>
      <c r="CJ20" s="25" t="str">
        <f t="shared" si="32"/>
        <v/>
      </c>
      <c r="CK20" s="25" t="str">
        <f t="shared" si="33"/>
        <v/>
      </c>
      <c r="CL20" s="25" t="str">
        <f t="shared" si="34"/>
        <v/>
      </c>
      <c r="CM20" s="25" t="str">
        <f t="shared" si="35"/>
        <v/>
      </c>
      <c r="CN20" s="25" t="str">
        <f t="shared" si="36"/>
        <v/>
      </c>
      <c r="CO20" s="25" t="str">
        <f t="shared" si="37"/>
        <v/>
      </c>
      <c r="CP20" s="25" t="str">
        <f t="shared" si="38"/>
        <v/>
      </c>
      <c r="CQ20" s="25" t="str">
        <f t="shared" si="39"/>
        <v/>
      </c>
      <c r="CR20" s="25" t="str">
        <f t="shared" si="40"/>
        <v/>
      </c>
      <c r="CS20" s="25" t="str">
        <f t="shared" si="41"/>
        <v/>
      </c>
      <c r="CT20" s="25" t="str">
        <f t="shared" si="42"/>
        <v/>
      </c>
      <c r="CU20" s="25" t="str">
        <f t="shared" si="43"/>
        <v/>
      </c>
      <c r="CV20" s="25" t="str">
        <f t="shared" si="44"/>
        <v/>
      </c>
      <c r="CW20" s="25" t="str">
        <f t="shared" si="45"/>
        <v/>
      </c>
      <c r="CX20" s="25" t="str" cm="1">
        <f t="array" ref="CX20">_xlfn.IFNA(_xlfn.IFS(
$G20="Weight Distance (e.g. Freight Transport)","Ref_DD_WeightDistanceUnits",
$G20="Passenger Distance (e.g. Public Transport)","Ref_DD_PasengerDistanceUnits",
$G20="Vehicle Distance (e.g. Road Transport)", "Ref_DD_DistanceUnit",
$G20="Vehicle Distance (e.g. Public or Freight Transport)","Ref_DD_DistanceUnit",
$G20="Fuel Use and Vehicle Distance", "Ref_DD_DistanceUnit",
$G20="Custom Vehicle",VLOOKUP($H20,'2. Settings'!$B$39:$I$54,8,FALSE)),"")</f>
        <v/>
      </c>
      <c r="CY20" s="27" t="str">
        <f ca="1">IF(AND(ISERROR(#REF!*$AU20)=TRUE,ISERROR((S20/1000)*$AV20)=TRUE,ISERROR((T20/1000)*$AW20)=FALSE),((T20/1000)*$AW20),"")</f>
        <v/>
      </c>
      <c r="CZ20" s="27" cm="1">
        <f t="array" ref="CZ20">IFERROR(_xlfn.IFS(
AND($G20="Custom vehicle",OR($J20="Passenger Mile",$J20="Passenger Kilometer")),"Passenger Distance (e.g. Public Transport)",
AND($G20="Custom vehicle",OR($J20="Tonne Mile",$J20="Tonne Kilometer",$J20="Short Ton Kilometer",$J20="Short Ton Mile")),"Weight Distance (e.g. Freight Transport)",
AND($G20="Custom vehicle",OR($J20="Mile",$J20="Kilometer")),"Vehicle Distance (e.g. Road Transport)",
$G20&lt;&gt;"Custom vehicle",$G20),"")</f>
        <v>0</v>
      </c>
      <c r="DA20" s="27" t="str" cm="1">
        <f t="array" ref="DA20">IFERROR(_xlfn.IFS(OR(J20="Tonne Kilometer",J20="Tonne Mile",J20="Short Ton Mile",J20="Short Ton Kilometer"),I20*K20,OR(J20="Passenger Kilometer",J20="Passenger Mile"),I20*L20,OR(J20="Kilometer",J20="Mile"),$I20),"")</f>
        <v/>
      </c>
    </row>
    <row r="21" spans="2:105" x14ac:dyDescent="0.25">
      <c r="B21" s="244"/>
      <c r="C21" s="71" t="str" cm="1">
        <f t="array" ref="C21">IFERROR(_xlfn.IFS($D21="Other", D21&amp;"_" &amp;Ref_Other_to,OR($D21="UK", $D21="US"),$D21),"")</f>
        <v/>
      </c>
      <c r="D21" s="71"/>
      <c r="E21" s="71"/>
      <c r="F21" s="71"/>
      <c r="G21" s="72"/>
      <c r="H21" s="72"/>
      <c r="I21" s="73"/>
      <c r="J21" s="73"/>
      <c r="K21" s="73"/>
      <c r="L21" s="73"/>
      <c r="M21" s="74"/>
      <c r="N21" s="75"/>
      <c r="O21" s="71"/>
      <c r="P21" s="165" t="str">
        <f t="shared" si="58"/>
        <v/>
      </c>
      <c r="Q21" s="166" t="str">
        <f t="shared" si="46"/>
        <v/>
      </c>
      <c r="R21" s="76" t="str" cm="1">
        <f t="array" aca="1" ref="R21" ca="1">IFERROR(_xlfn.IFS(
AND(AA21&gt;0, OR($G21="Fuel Use",$G21="Custom Fuel")),$N21*$AA21*$AM21*$AN21,
AND(AA21&gt;0,$CZ21="Vehicle Distance (e.g. Road Transport)"),$I21*$AA21*$AM21*$AN21,
AND(AA21&gt;0,$CZ21="Vehicle Distance (e.g. Public or Freight Transport)"),$I21*$AA21*$AM21*$AN21,
AND(AA21&gt;0,$CZ21="Fuel Use and Vehicle Distance"),$N21*$AA21*$AM21*$AN21,
AND(AA21&gt;0,$CZ21="Passenger Distance (e.g. Public Transport)"),$DA21*$AA21*$AM21*$AN21,
AND(AA21&gt;0,$CZ21="Weight Distance (e.g. Freight Transport)"),$DA21*$AA21*$AM21*$AN21),"")</f>
        <v/>
      </c>
      <c r="S21" s="77" t="str" cm="1">
        <f t="array" aca="1" ref="S21" ca="1">IFERROR(_xlfn.IFS(
AND(AG21&gt;-1, $G21="Fuel Use and Vehicle Distance"),$I21*$AG21*$AQ21*$AR21,
AND(AG21&gt;-1, $G21="Vehicle Distance (e.g. Road Transport)"),$I21*$AG21*$AQ21*$AR21,
AND(AG21&gt;-1, $CZ21="Vehicle Distance (e.g. Public or Freight Transport)"),$I21*$AG21*$AQ21*$AR21,
AND(AG21&gt;-1, OR($G21="Fuel Use",$G21="Custom Fuel")), $N21*$AG21*$AQ21*$AR21*1000,
AND(AG21&gt;-1, $G21="Custom Vehicle"),$DA21*$AG21*$AQ21*$AR21*1000,
AND(AG21&gt;-1, AND($G21&lt;&gt;"Custom Vehicle",$CZ21="Weight Distance (e.g. Freight Transport)")),$DA21*$AG21*$AQ21*$AR21*1000,
AND(AG21&gt;-1, AND($G21&lt;&gt;"Custom Vehicle",$CZ21="Passenger Distance (e.g. Public Transport)")), $DA21*$AG21*$AQ21*$AR21*1000),"")</f>
        <v/>
      </c>
      <c r="T21" s="77" t="str" cm="1">
        <f t="array" aca="1" ref="T21" ca="1">IFERROR(_xlfn.IFS(
AND(AJ21&gt;0,$G21="Fuel Use and Vehicle Distance"),$I21*$AJ21*$AS21*$AT21,
AND(AJ21&gt;0,$G21="Vehicle Distance (e.g. Road Transport)"),$I21*$AJ21*$AS21*$AT21,
AND(AJ21&gt;0,$G21="Vehicle Distance (e.g. Public or Freight Transport)"),$I21*$AJ21*$AS21*$AT21,
AND(AJ21&gt;0,OR($G21="Fuel Use",$G21="Custom Fuel")), $N21*$AJ21*$AS21*$AT21*1000,
AND(AJ21&gt;0,$G21="Custom Vehicle"),$DA21*$AJ21*$AS21*$AT21*1000,
AND(AJ21&gt;0,AND($G21&lt;&gt;"Custom Vehicle",$CZ21="Weight Distance (e.g. Freight Transport)")),$DA21*$AJ21*$AS21*$AT21*1000,
AND(AJ21&gt;0,AND($G21&lt;&gt;"Custom Vehicle",$CZ21="Passenger Distance (e.g. Public Transport)")), $DA21*$AJ21*$AS21*$AT21*1000),"")</f>
        <v/>
      </c>
      <c r="U21" s="78" t="str">
        <f t="shared" ca="1" si="47"/>
        <v/>
      </c>
      <c r="V21" s="161" t="str" cm="1">
        <f t="array" aca="1" ref="V21" ca="1">IFERROR(_xlfn.IFS(
AND(AD21&gt;0,OR($CZ21="Fuel Use",$CZ21="Custom Fuel",$CZ21="Fuel Use and Vehicle Distance")),($N21*$AD21*$AO21*$AP21),
AND(AD21&gt;0,$G21="Custom Vehicle"),$DA21*$AD21*$AO21*$AP21,
AND(AD21&gt;0,$CZ21="Vehicle Distance (e.g. Public or Freight Transport)"),$I21*$AD21*$AM21*$AN21,
AND(AD21&gt;0,$CZ21="Weight Distance (e.g. Freight Transport)"),($I21*$K21*$AD21*$AO21*$AP21),
AND(AD21&gt;0,$CZ21="Passenger Distance (e.g. Public Transport)"),$I21*$L21*$AD21*$AO21*$AP21,
AND(AD21&gt;0,$CZ21="Vehicle Distance (e.g. Road Transport)"),($I21*$AD21*$AO21*$AP21)),"")</f>
        <v/>
      </c>
      <c r="W21" s="164" t="str" cm="1">
        <f t="array" aca="1" ref="W21" ca="1">IFERROR(_xlfn.IFS(AND(ISNUMBER(R21),AA21=0),AA21&amp;" "&amp;"("&amp;AB21&amp;" CO2/"&amp;AC21&amp;")",AND(ISNUMBER(R21),AA21&gt;0),ROUND(AA21,INT(3-LOG(AA21)))&amp;" "&amp;"("&amp;AB21&amp;" CO2/"&amp;AC21&amp;")"),"")</f>
        <v/>
      </c>
      <c r="X21" s="164" t="str" cm="1">
        <f t="array" aca="1" ref="X21" ca="1">IFERROR(_xlfn.IFS(AND(ISNUMBER(S21), AG21=0),AG21&amp;" "&amp;"("&amp;AH21&amp;" CH4/"&amp;AI21&amp;")",AND(ISNUMBER(S21), AG21&gt;0),ROUND(AG21,INT(3-LOG(AG21)))&amp;" "&amp;"("&amp;AH21&amp;" CH4/"&amp;AI21&amp;")"),"")</f>
        <v/>
      </c>
      <c r="Y21" s="164" t="str" cm="1">
        <f t="array" aca="1" ref="Y21" ca="1">IFERROR(_xlfn.IFS(AND(ISNUMBER(T21), AJ21=0),AJ21&amp;" "&amp;"("&amp;AK21&amp;" CH4/"&amp;AL21&amp;")",AND(ISNUMBER(T21), AJ21&gt;0),ROUND(AJ21,INT(3-LOG(AJ21)))&amp;" "&amp;"("&amp;AK21&amp;" N2O/"&amp;AL21&amp;")"),"")</f>
        <v/>
      </c>
      <c r="Z21" s="245" t="str" cm="1">
        <f t="array" aca="1" ref="Z21" ca="1">IFERROR(_xlfn.IFS(AND(ISNUMBER(V21),AD21=0),AD21&amp;" "&amp;"("&amp;AE21&amp;" CO2/"&amp;AF21&amp;")",AND(ISNUMBER(V21),AD21&gt;0),ROUND(AD21,INT(3-LOG(AD21)))&amp;" "&amp;"("&amp;AE21&amp;" CO2/"&amp;AF21&amp;")"),"")</f>
        <v/>
      </c>
      <c r="AA21" s="240" t="str" cm="1">
        <f t="array" aca="1" ref="AA21" ca="1">IFERROR(_xlfn.IFS(
OR($G21="Fuel Use",$G21="Fuel Use and Vehicle Distance"),VLOOKUP($M21,INDIRECT("Ref_EF_ByFuel"&amp;"_"&amp;$C21),3,0),
$G21="Vehicle Distance (e.g. Road Transport)",VLOOKUP($H21,INDIRECT("Ref_EF_Vehicle_Distance"&amp;"_"&amp;$C21),3,0),
$G21="Vehicle Distance (e.g. Public or Freight Transport)",VLOOKUP($H21,INDIRECT("Ref_EF_Vehicle_Distance_S3"&amp;"_"&amp;$C21),3,0),
$G21="Custom Vehicle",VLOOKUP($H21,Tbl_vehical_Settings,2,0),
$G21="Custom Fuel",VLOOKUP($M21,Tbl_Fuel_Settings,2,0),
$G21="Weight Distance (e.g. Freight Transport)",VLOOKUP($H21,INDIRECT("Ref_EF_Weight_Distance"&amp;"_"&amp;$C21),3,0),
$G21="Passenger Distance (e.g. Public Transport)",VLOOKUP($H21,INDIRECT("Ref_EF_Public_Transport"&amp;"_"&amp;$C21),3,0)),"")</f>
        <v/>
      </c>
      <c r="AB21" s="31" t="str" cm="1">
        <f t="array" aca="1" ref="AB21" ca="1">IFERROR(_xlfn.IFS(
OR($G21="Fuel Use",$G21="Fuel Use and Vehicle Distance"),VLOOKUP($M21,INDIRECT("Ref_EF_ByFuel"&amp;"_"&amp;$C21),5,0),
$G21="Vehicle Distance (e.g. Road Transport)",VLOOKUP($H21,INDIRECT("Ref_EF_Vehicle_Distance"&amp;"_"&amp;$C21),5,0),
$G21="Vehicle Distance (e.g. Public or Freight Transport)",VLOOKUP($H21,INDIRECT("Ref_EF_Vehicle_Distance_S3"&amp;"_"&amp;$C21),5,0),
$G21="Custom Vehicle",VLOOKUP($H21,Tbl_vehical_Settings,6,0),
$G21="Custom Fuel",VLOOKUP($M21,Tbl_Fuel_Settings,6,0),
$G21="Weight Distance (e.g. Freight Transport)",VLOOKUP($H21,INDIRECT("Ref_EF_Weight_Distance"&amp;"_"&amp;$C21),5,0),
$G21="Passenger Distance (e.g. Public Transport)",VLOOKUP($H21,INDIRECT("Ref_EF_Public_Transport"&amp;"_"&amp;$C21),5,0)),"")</f>
        <v/>
      </c>
      <c r="AC21" s="31" t="str" cm="1">
        <f t="array" aca="1" ref="AC21" ca="1">IFERROR(_xlfn.IFS(
OR($G21="Fuel Use",$G21="Fuel Use and Vehicle Distance"),VLOOKUP($M21,INDIRECT("Ref_EF_ByFuel"&amp;"_"&amp;$C21),6,0),
$G21="Vehicle Distance (e.g. Road Transport)",VLOOKUP($H21,INDIRECT("Ref_EF_Vehicle_Distance"&amp;"_"&amp;$C21),6,0),
$G21="Vehicle Distance (e.g. Public or Freight Transport)",VLOOKUP($H21,INDIRECT("Ref_EF_Vehicle_Distance_S3"&amp;"_"&amp;$C21),6,0),
$G21="Custom Vehicle",VLOOKUP($H21,Tbl_vehical_Settings,7,0),
$G21="Custom Fuel",VLOOKUP($M21,Tbl_Fuel_Settings,7,0),
$G21="Weight Distance (e.g. Freight Transport)",VLOOKUP($H21,INDIRECT("Ref_EF_Weight_Distance"&amp;"_"&amp;$C21),6,0),
$G21="Passenger Distance (e.g. Public Transport)",VLOOKUP($H21,INDIRECT("Ref_EF_Public_Transport"&amp;"_"&amp;$C21),6,0)),"")</f>
        <v/>
      </c>
      <c r="AD21" s="31" t="str" cm="1">
        <f t="array" aca="1" ref="AD21" ca="1">IFERROR(_xlfn.IFS(
OR($G21="Fuel Use",$G21="Fuel Use and Vehicle Distance"),VLOOKUP($M21,INDIRECT("Ref_EF_ByFuel"&amp;"_"&amp;$C21),4,0),
$G21="Vehicle Distance (e.g. Road Transport)",VLOOKUP($H21,INDIRECT("Ref_EF_Vehicle_Distance"&amp;"_"&amp;$C21),4,0),
$G21="Vehicle Distance (e.g. Public or Freight Transport)",VLOOKUP($H21,INDIRECT("Ref_EF_Vehicle_Distance_S3"&amp;"_"&amp;$C21),4,0),
$G21="Custom Vehicle",VLOOKUP($H21,Tbl_vehical_Settings,5,0),
$G21="Custom Fuel",VLOOKUP($M21,Tbl_Fuel_Settings,5,0),
$G21="Weight Distance (e.g. Freight Transport)",VLOOKUP($H21,INDIRECT("Ref_EF_Weight_Distance"&amp;"_"&amp;$C21),4,0),
$G21="Passenger Distance (e.g. Public Transport)",VLOOKUP($H21,INDIRECT("Ref_EF_Public_Transport"&amp;"_"&amp;$C21),4,0)),"")</f>
        <v/>
      </c>
      <c r="AE21" s="31" t="str" cm="1">
        <f t="array" aca="1" ref="AE21" ca="1">IFERROR(_xlfn.IFS(
OR($G21="Fuel Use",$G21="Fuel Use and Vehicle Distance"),VLOOKUP($M21,INDIRECT("Ref_EF_ByFuel"&amp;"_"&amp;$C21),5,0),
$G21="Vehicle Distance (e.g. Road Transport)",VLOOKUP($H21,INDIRECT("Ref_EF_Vehicle_Distance"&amp;"_"&amp;$C21),5,0),
$G21="Vehicle Distance (e.g. Public or Freight Transport)",VLOOKUP($H21,INDIRECT("Ref_EF_Vehicle_Distance_S3"&amp;"_"&amp;$C21),5,0),
$G21="Custom Vehicle",VLOOKUP($H21,Tbl_vehical_Settings,6,0),
$G21="Custom Fuel",VLOOKUP($M21,Tbl_Fuel_Settings,6,0),
$G21="Weight Distance (e.g. Freight Transport)",VLOOKUP($H21,INDIRECT("Ref_EF_Weight_Distance"&amp;"_"&amp;$C21),5,0),
$G21="Passenger Distance (e.g. Public Transport)",VLOOKUP($H21,INDIRECT("Ref_EF_Public_Transport"&amp;"_"&amp;$C21),5,0)),"")</f>
        <v/>
      </c>
      <c r="AF21" s="31" t="str" cm="1">
        <f t="array" aca="1" ref="AF21" ca="1">IFERROR(_xlfn.IFS(
OR($G21="Fuel Use",$G21="Fuel Use and Vehicle Distance"),VLOOKUP($M21,INDIRECT("Ref_EF_ByFuel"&amp;"_"&amp;$C21),6,0),
$G21="Vehicle Distance (e.g. Road Transport)",VLOOKUP($H21,INDIRECT("Ref_EF_Vehicle_Distance"&amp;"_"&amp;$C21),6,0),
$G21="Vehicle Distance (e.g. Public or Freight Transport)",VLOOKUP($H21,INDIRECT("Ref_EF_Vehicle_Distance_S3"&amp;"_"&amp;$C21),6,0),
$G21="Custom Vehicle",VLOOKUP($H21,Tbl_vehical_Settings,7,0),
$G21="Custom Fuel",VLOOKUP($M21,Tbl_Fuel_Settings,7,0),
$G21="Weight Distance (e.g. Freight Transport)",VLOOKUP($H21,INDIRECT("Ref_EF_Weight_Distance"&amp;"_"&amp;$C21),6,0),
$G21="Passenger Distance (e.g. Public Transport)",VLOOKUP($H21,INDIRECT("Ref_EF_Public_Transport"&amp;"_"&amp;$C21),6,0)),"")</f>
        <v/>
      </c>
      <c r="AG21" s="31" t="str" cm="1">
        <f t="array" aca="1" ref="AG21" ca="1">IFERROR(_xlfn.IFS(
AND($G21="Fuel Use",$E21&lt;&gt;"Road"),VLOOKUP($H21,INDIRECT("Ref_EF_ByFuel_CH4"&amp;"_"&amp;$C21),3,0),
$G21="Vehicle Distance (e.g. Road Transport)",VLOOKUP($H21,INDIRECT("Ref_EF_Vehicle_Distance"&amp;"_"&amp;$C21),7,0),
$G21="Vehicle Distance (e.g. Public or Freight Transport)",VLOOKUP($H21,INDIRECT("Ref_EF_Vehicle_Distance_S3"&amp;"_"&amp;$C21),7,0),
$G21="Fuel Use and Vehicle Distance",VLOOKUP($H21,INDIRECT("Ref_EF_Fuel_Vehicle_Distance"&amp;"_"&amp;$C21),3,0),
$G21="Custom Vehicle",VLOOKUP($H21,Tbl_vehical_Settings,3,0),
$G21="Custom Fuel",VLOOKUP($M21,Tbl_Fuel_Settings,3,0),
$G21="Weight Distance (e.g. Freight Transport)",VLOOKUP($H21,INDIRECT("Ref_EF_Weight_Distance_CH4"&amp;"_"&amp;$C21),3,0),
$G21="Passenger Distance (e.g. Public Transport)",VLOOKUP($H21,INDIRECT("Ref_EF_Public_Transport_CH4"&amp;"_"&amp;$C21),7,0)),"")</f>
        <v/>
      </c>
      <c r="AH21" s="31" t="str" cm="1">
        <f t="array" aca="1" ref="AH21" ca="1">IFERROR(_xlfn.IFS(
AND($G21="Fuel Use",$E21&lt;&gt;"Road"),VLOOKUP($H21,INDIRECT("Ref_EF_ByFuel_CH4"&amp;"_"&amp;$C21),4,0),
$G21="Vehicle Distance (e.g. Road Transport)",VLOOKUP($H21,INDIRECT("Ref_EF_Vehicle_Distance"&amp;"_"&amp;$C21),8,0),
$G21="Vehicle Distance (e.g. Public or Freight Transport)",VLOOKUP($H21,INDIRECT("Ref_EF_Vehicle_Distance_S3"&amp;"_"&amp;$C21),8,0),
$G21="Fuel Use and Vehicle Distance",VLOOKUP($H21,INDIRECT("Ref_EF_Fuel_Vehicle_Distance"&amp;"_"&amp;$C21),4,0),
$G21="Custom Vehicle",VLOOKUP($H21,Tbl_vehical_Settings,6,0),
$G21="Custom Fuel",VLOOKUP($M21,Tbl_Fuel_Settings,6,0),
$G21="Weight Distance (e.g. Freight Transport)",VLOOKUP($H21,INDIRECT("Ref_EF_Weight_Distance_CH4"&amp;"_"&amp;$C21),4,0),
$G21="Passenger Distance (e.g. Public Transport)",VLOOKUP($H21,INDIRECT("Ref_EF_Public_Transport_CH4"&amp;"_"&amp;$C21),8,0)),"")</f>
        <v/>
      </c>
      <c r="AI21" s="31" t="str" cm="1">
        <f t="array" aca="1" ref="AI21" ca="1">IFERROR(_xlfn.IFS(
AND($G21="Fuel Use",$E21&lt;&gt;"Road"),VLOOKUP($H21,INDIRECT("Ref_EF_ByFuel_CH4"&amp;"_"&amp;$C21),5,0),
$G21="Vehicle Distance (e.g. Road Transport)",VLOOKUP($H21,INDIRECT("Ref_EF_Vehicle_Distance"&amp;"_"&amp;$C21),9,0),
$G21="Vehicle Distance (e.g. Public or Freight Transport)",VLOOKUP($H21,INDIRECT("Ref_EF_Vehicle_Distance_S3"&amp;"_"&amp;$C21),9,0),
$G21="Fuel Use and Vehicle Distance",VLOOKUP($H21,INDIRECT("Ref_EF_Fuel_Vehicle_Distance"&amp;"_"&amp;$C21),5,0),
$G21="Custom Vehicle",VLOOKUP($H21,Tbl_vehical_Settings,7,0),
$G21="Custom Fuel",VLOOKUP($M21,Tbl_Fuel_Settings,7,0),
$G21="Weight Distance (e.g. Freight Transport)",VLOOKUP($H21,INDIRECT("Ref_EF_Weight_Distance_CH4"&amp;"_"&amp;$C21),5,0),
$G21="Passenger Distance (e.g. Public Transport)",VLOOKUP($H21,INDIRECT("Ref_EF_Public_Transport_CH4"&amp;"_"&amp;$C21),9,0)),"")</f>
        <v/>
      </c>
      <c r="AJ21" s="31" t="str" cm="1">
        <f t="array" aca="1" ref="AJ21" ca="1">IFERROR(_xlfn.IFS(
AND($G21="Fuel Use",$E21&lt;&gt;"Road"),VLOOKUP($H21,INDIRECT("Ref_EF_ByFuel_CH4"&amp;"_"&amp;$C21),6,0),
$G21="Vehicle Distance (e.g. Road Transport)",VLOOKUP($H21,INDIRECT("Ref_EF_Vehicle_Distance"&amp;"_"&amp;$C21),10,0),
$G21="Vehicle Distance (e.g. Public or Freight Transport)",VLOOKUP($H21,INDIRECT("Ref_EF_Vehicle_Distance_S3"&amp;"_"&amp;$C21),10,0),
$G21="Fuel Use and Vehicle Distance",VLOOKUP($H21,INDIRECT("Ref_EF_Fuel_Vehicle_Distance"&amp;"_"&amp;$C21),6,0),
$G21="Custom Vehicle",VLOOKUP($H21,Tbl_vehical_Settings,4,0),
$G21="Custom Fuel",VLOOKUP($M21,Tbl_Fuel_Settings,4,0),
$G21="Weight Distance (e.g. Freight Transport)",VLOOKUP($H21,INDIRECT("Ref_EF_Weight_Distance_CH4"&amp;"_"&amp;$C21),6,0),
$G21="Passenger Distance (e.g. Public Transport)",VLOOKUP($H21,INDIRECT("Ref_EF_Public_Transport_CH4"&amp;"_"&amp;$C21),10,0)),"")</f>
        <v/>
      </c>
      <c r="AK21" s="31" t="str" cm="1">
        <f t="array" aca="1" ref="AK21" ca="1">IFERROR(_xlfn.IFS(
AND($G21="Fuel Use",$E21&lt;&gt;"Road"),VLOOKUP($H21,INDIRECT("Ref_EF_ByFuel_CH4"&amp;"_"&amp;$C21),7,0),
$G21="Vehicle Distance (e.g. Road Transport)",VLOOKUP($H21,INDIRECT("Ref_EF_Vehicle_Distance"&amp;"_"&amp;$C21),11,0),
$G21="Vehicle Distance (e.g. Public or Freight Transport)",VLOOKUP($H21,INDIRECT("Ref_EF_Vehicle_Distance_S3"&amp;"_"&amp;$C21),11,0),
$G21="Fuel Use and Vehicle Distance",VLOOKUP($H21,INDIRECT("Ref_EF_Fuel_Vehicle_Distance"&amp;"_"&amp;$C21),7,0),
$G21="Custom Vehicle",VLOOKUP($H21,Tbl_vehical_Settings,6,0),
$G21="Custom Fuel",VLOOKUP($M21,Tbl_Fuel_Settings,6,0),
$G21="Weight Distance (e.g. Freight Transport)",VLOOKUP($H21,INDIRECT("Ref_EF_Weight_Distance_CH4"&amp;"_"&amp;$C21),7,0),
$G21="Passenger Distance (e.g. Public Transport)",VLOOKUP($H21,INDIRECT("Ref_EF_Public_Transport_CH4"&amp;"_"&amp;$C21),11,0)),"")</f>
        <v/>
      </c>
      <c r="AL21" s="31" t="str" cm="1">
        <f t="array" aca="1" ref="AL21" ca="1">IFERROR(_xlfn.IFS(
AND($G21="Fuel Use",$E21&lt;&gt;"Road"),VLOOKUP($H21,INDIRECT("Ref_EF_ByFuel_CH4"&amp;"_"&amp;$C21),8,0),
$G21="Vehicle Distance (e.g. Road Transport)",VLOOKUP($H21,INDIRECT("Ref_EF_Vehicle_Distance"&amp;"_"&amp;$C21),12,0),
$G21="Vehicle Distance (e.g. Public or Freight Transport)",VLOOKUP($H21,INDIRECT("Ref_EF_Vehicle_Distance_S3"&amp;"_"&amp;$C21),12,0),
$G21="Fuel Use and Vehicle Distance",VLOOKUP($H21,INDIRECT("Ref_EF_Fuel_Vehicle_Distance"&amp;"_"&amp;$C21),8,0),
$G21="Custom Vehicle",VLOOKUP($H21,Tbl_vehical_Settings,7,0),
$G21="Custom Fuel",VLOOKUP($M21,Tbl_Fuel_Settings,7,0),
$G21="Weight Distance (e.g. Freight Transport)",VLOOKUP($H21,INDIRECT("Ref_EF_Weight_Distance_CH4"&amp;"_"&amp;$C21),8,0),
$G21="Passenger Distance (e.g. Public Transport)",VLOOKUP($H21,INDIRECT("Ref_EF_Public_Transport_CH4"&amp;"_"&amp;$C21),12,0)),"")</f>
        <v/>
      </c>
      <c r="AM21" s="31" t="e">
        <f ca="1">INDEX(Ref_Master_Unit_Table,MATCH($AB21,REF_To_Unit,0),MATCH('Reference - Lookup and Unit'!$A$11,Ref_From_Units,0))</f>
        <v>#N/A</v>
      </c>
      <c r="AN21" s="31" t="e">
        <f t="shared" ca="1" si="0"/>
        <v>#N/A</v>
      </c>
      <c r="AO21" s="31" t="e">
        <f ca="1">INDEX(Ref_Master_Unit_Table,MATCH($AE21,REF_To_Unit,0),MATCH('Reference - Lookup and Unit'!$A$11,Ref_From_Units,0))</f>
        <v>#N/A</v>
      </c>
      <c r="AP21" s="31" t="e">
        <f t="shared" ref="AP21:AP53" ca="1" si="59">INDEX(Ref_Master_Unit_Table,MATCH(IF(AND($C21="UK",$G21="Vehicle Distance (e.g. Road Transport)"),$J21,IF(ISBLANK($O21),$J21,$O21)),Ref_From_Units,0),MATCH($AF21,REF_To_Unit,0))</f>
        <v>#N/A</v>
      </c>
      <c r="AQ21" s="31" t="e">
        <f ca="1">INDEX(Ref_Master_Unit_Table,MATCH($AH21,REF_To_Unit,0),MATCH('Reference - Lookup and Unit'!$A$11,Ref_From_Units,0))</f>
        <v>#N/A</v>
      </c>
      <c r="AR21" s="31" t="e">
        <f t="shared" ref="AR21:AR53" ca="1" si="60">INDEX(Ref_Master_Unit_Table,MATCH(IF(OR($G21="Fuel Use",$G21="Custom Fuel"),$O21,$J21),Ref_From_Units,0),MATCH($AI21,REF_To_Unit,0))</f>
        <v>#N/A</v>
      </c>
      <c r="AS21" s="31" t="e">
        <f ca="1">INDEX(Ref_Master_Unit_Table,MATCH($AK21,REF_To_Unit,0),MATCH('Reference - Lookup and Unit'!$A$11,Ref_From_Units,0))</f>
        <v>#N/A</v>
      </c>
      <c r="AT21" s="31" t="e">
        <f t="shared" ref="AT21:AT53" ca="1" si="61">INDEX(Ref_Master_Unit_Table,MATCH(IF(OR($G21="Fuel Use",$G21="Custom Fuel"),$O21,$J21),Ref_From_Units,0),MATCH($AI21,REF_To_Unit,0))</f>
        <v>#N/A</v>
      </c>
      <c r="AU21" s="31" t="e" cm="1">
        <f t="array" aca="1" ref="AU21"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21" s="31">
        <f t="shared" ca="1" si="48"/>
        <v>27.9</v>
      </c>
      <c r="AW21" s="31">
        <f t="shared" ca="1" si="49"/>
        <v>273</v>
      </c>
      <c r="AX21" s="31" t="e" cm="1">
        <f t="array" aca="1" ref="AX21"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21" s="25" t="e" cm="1">
        <f t="array" ref="AY21">_xlfn.IFS(
AND($E21&lt;&gt;"",$G21="Custom Fuel"),("Settings_Custom_Fuels"),
AND($E21&lt;&gt;"",$G21="Custom vehicle"),("Settings_Custom_Vehicle"),
AND($E21&lt;&gt;"",$G21="Fuel Use"),("Ref_DD_vehicle_FuelUse"&amp;"_"&amp;C21&amp;"_"&amp;E21),
AND($E21&lt;&gt;"",$G21="Fuel Use and Vehicle Distance"),("Ref_DD_Fuel_VehicleDistance"&amp;"_"&amp;C21&amp;"_"&amp;E21),
AND($E21&lt;&gt;"",$G21="Vehicle Distance (e.g. Road Transport)"),("Ref_DD_vehicle_VehicleDistance"&amp;"_"&amp;C21&amp;"_"&amp;E21),
AND($E21&lt;&gt;"",$G21="Weight Distance (e.g. Freight Transport)"),("Ref_DD_vehicle_WeightDistance"&amp;"_"&amp;C21&amp;"_"&amp;E21),
AND($E21&lt;&gt;"",$G21="Vehicle Distance (e.g. Public or Freight Transport)"),("Ref_DD_vehicle_DistanceS3"&amp;"_"&amp;C21),
AND($E21&lt;&gt;"",$G21="Passenger Distance (e.g. Public Transport)"),("Ref_DD_vehicle_Passenger"&amp;"_"&amp;C21&amp;"_"&amp;E21),
AND($E21="",$G21="Fuel Use"),("Ref_DD_vehicle_FuelUse"&amp;"_"&amp;C21),
AND($E21="",OR($G21="Vehicle Distance (e.g. Road Transport)",$G21="Fuel Use and Vehicle Distance")),("Ref_DD_vehicle_VehicleDistance"&amp;"_"&amp;C21),
AND($E21="",$G21="Weight Distance (e.g. Freight Transport)"),("Ref_DD_vehicle_WeightDistance"&amp;"_"&amp;C21),
AND($E21="",$G21="Vehicle Distance (e.g. Public or Freight Transport)"),("Ref_DD_vehicle_DistanceS3"&amp;"_"&amp;C21),
AND($E21="",$G21="Passenger Distance (e.g. Public Transport)"),("Ref_DD_vehicle_Passenger"&amp;"_"&amp;C21))</f>
        <v>#N/A</v>
      </c>
      <c r="AZ21" s="25" t="b">
        <f t="shared" ca="1" si="4"/>
        <v>0</v>
      </c>
      <c r="BA21" s="25" t="str">
        <f t="shared" si="5"/>
        <v/>
      </c>
      <c r="BB21" s="25" t="str">
        <f t="shared" si="6"/>
        <v/>
      </c>
      <c r="BC21" s="25" t="str">
        <f t="shared" si="50"/>
        <v/>
      </c>
      <c r="BD21" s="25" t="str">
        <f t="shared" si="51"/>
        <v/>
      </c>
      <c r="BE21" s="25" t="str">
        <f t="shared" si="52"/>
        <v/>
      </c>
      <c r="BF21" s="25" t="str">
        <f t="shared" si="53"/>
        <v/>
      </c>
      <c r="BG21" s="25" t="str">
        <f t="shared" si="7"/>
        <v/>
      </c>
      <c r="BH21" s="25" t="str">
        <f t="shared" si="8"/>
        <v/>
      </c>
      <c r="BI21" s="25" t="str">
        <f t="shared" si="54"/>
        <v/>
      </c>
      <c r="BJ21" s="25" t="str">
        <f t="shared" si="55"/>
        <v/>
      </c>
      <c r="BK21" s="25" t="str">
        <f t="shared" si="56"/>
        <v/>
      </c>
      <c r="BL21" s="25" t="str">
        <f t="shared" si="57"/>
        <v/>
      </c>
      <c r="BM21" s="25" t="str">
        <f t="shared" si="9"/>
        <v/>
      </c>
      <c r="BN21" s="25" t="str">
        <f t="shared" ca="1" si="10"/>
        <v/>
      </c>
      <c r="BO21" s="25" t="str">
        <f t="shared" si="11"/>
        <v/>
      </c>
      <c r="BP21" s="25" t="str">
        <f t="shared" si="12"/>
        <v/>
      </c>
      <c r="BQ21" s="25" t="str">
        <f t="shared" si="13"/>
        <v/>
      </c>
      <c r="BR21" s="25" t="str">
        <f t="shared" si="14"/>
        <v/>
      </c>
      <c r="BS21" s="25" t="str">
        <f t="shared" si="15"/>
        <v/>
      </c>
      <c r="BT21" s="25" t="str">
        <f t="shared" si="16"/>
        <v/>
      </c>
      <c r="BU21" s="25" t="str">
        <f t="shared" si="17"/>
        <v/>
      </c>
      <c r="BV21" s="25" t="str">
        <f t="shared" si="18"/>
        <v/>
      </c>
      <c r="BW21" s="25" t="str">
        <f t="shared" si="19"/>
        <v/>
      </c>
      <c r="BX21" s="25" t="str">
        <f t="shared" si="20"/>
        <v/>
      </c>
      <c r="BY21" s="25" t="str">
        <f t="shared" si="21"/>
        <v/>
      </c>
      <c r="BZ21" s="25" t="str">
        <f t="shared" si="22"/>
        <v/>
      </c>
      <c r="CA21" s="25" t="str">
        <f t="shared" si="23"/>
        <v/>
      </c>
      <c r="CB21" s="25" t="str">
        <f t="shared" si="24"/>
        <v/>
      </c>
      <c r="CC21" s="25" t="str">
        <f t="shared" si="25"/>
        <v/>
      </c>
      <c r="CD21" s="25" t="str">
        <f t="shared" si="26"/>
        <v/>
      </c>
      <c r="CE21" s="25" t="str">
        <f t="shared" si="27"/>
        <v/>
      </c>
      <c r="CF21" s="25" t="str">
        <f t="shared" si="28"/>
        <v/>
      </c>
      <c r="CG21" s="25" t="str">
        <f t="shared" si="29"/>
        <v/>
      </c>
      <c r="CH21" s="25" t="str">
        <f t="shared" si="30"/>
        <v/>
      </c>
      <c r="CI21" s="25" t="str">
        <f t="shared" si="31"/>
        <v/>
      </c>
      <c r="CJ21" s="25" t="str">
        <f t="shared" si="32"/>
        <v/>
      </c>
      <c r="CK21" s="25" t="str">
        <f t="shared" si="33"/>
        <v/>
      </c>
      <c r="CL21" s="25" t="str">
        <f t="shared" si="34"/>
        <v/>
      </c>
      <c r="CM21" s="25" t="str">
        <f t="shared" si="35"/>
        <v/>
      </c>
      <c r="CN21" s="25" t="str">
        <f t="shared" si="36"/>
        <v/>
      </c>
      <c r="CO21" s="25" t="str">
        <f t="shared" si="37"/>
        <v/>
      </c>
      <c r="CP21" s="25" t="str">
        <f t="shared" si="38"/>
        <v/>
      </c>
      <c r="CQ21" s="25" t="str">
        <f t="shared" si="39"/>
        <v/>
      </c>
      <c r="CR21" s="25" t="str">
        <f t="shared" si="40"/>
        <v/>
      </c>
      <c r="CS21" s="25" t="str">
        <f t="shared" si="41"/>
        <v/>
      </c>
      <c r="CT21" s="25" t="str">
        <f t="shared" si="42"/>
        <v/>
      </c>
      <c r="CU21" s="25" t="str">
        <f t="shared" si="43"/>
        <v/>
      </c>
      <c r="CV21" s="25" t="str">
        <f t="shared" si="44"/>
        <v/>
      </c>
      <c r="CW21" s="25" t="str">
        <f t="shared" si="45"/>
        <v/>
      </c>
      <c r="CX21" s="25" t="str" cm="1">
        <f t="array" ref="CX21">_xlfn.IFNA(_xlfn.IFS(
$G21="Weight Distance (e.g. Freight Transport)","Ref_DD_WeightDistanceUnits",
$G21="Passenger Distance (e.g. Public Transport)","Ref_DD_PasengerDistanceUnits",
$G21="Vehicle Distance (e.g. Road Transport)", "Ref_DD_DistanceUnit",
$G21="Vehicle Distance (e.g. Public or Freight Transport)","Ref_DD_DistanceUnit",
$G21="Fuel Use and Vehicle Distance", "Ref_DD_DistanceUnit",
$G21="Custom Vehicle",VLOOKUP($H21,'2. Settings'!$B$39:$I$54,8,FALSE)),"")</f>
        <v/>
      </c>
      <c r="CY21" s="27" t="str">
        <f ca="1">IF(AND(ISERROR(#REF!*$AU21)=TRUE,ISERROR((S21/1000)*$AV21)=TRUE,ISERROR((T21/1000)*$AW21)=FALSE),((T21/1000)*$AW21),"")</f>
        <v/>
      </c>
      <c r="CZ21" s="27" cm="1">
        <f t="array" ref="CZ21">IFERROR(_xlfn.IFS(
AND($G21="Custom vehicle",OR($J21="Passenger Mile",$J21="Passenger Kilometer")),"Passenger Distance (e.g. Public Transport)",
AND($G21="Custom vehicle",OR($J21="Tonne Mile",$J21="Tonne Kilometer",$J21="Short Ton Kilometer",$J21="Short Ton Mile")),"Weight Distance (e.g. Freight Transport)",
AND($G21="Custom vehicle",OR($J21="Mile",$J21="Kilometer")),"Vehicle Distance (e.g. Road Transport)",
$G21&lt;&gt;"Custom vehicle",$G21),"")</f>
        <v>0</v>
      </c>
      <c r="DA21" s="27" t="str" cm="1">
        <f t="array" ref="DA21">IFERROR(_xlfn.IFS(OR(J21="Tonne Kilometer",J21="Tonne Mile",J21="Short Ton Mile",J21="Short Ton Kilometer"),I21*K21,OR(J21="Passenger Kilometer",J21="Passenger Mile"),I21*L21,OR(J21="Kilometer",J21="Mile"),$I21),"")</f>
        <v/>
      </c>
    </row>
    <row r="22" spans="2:105" x14ac:dyDescent="0.25">
      <c r="B22" s="244"/>
      <c r="C22" s="71" t="str" cm="1">
        <f t="array" ref="C22">IFERROR(_xlfn.IFS($D22="Other", D22&amp;"_" &amp;Ref_Other_to,OR($D22="UK", $D22="US"),$D22),"")</f>
        <v/>
      </c>
      <c r="D22" s="71"/>
      <c r="E22" s="71"/>
      <c r="F22" s="71"/>
      <c r="G22" s="72"/>
      <c r="H22" s="72"/>
      <c r="I22" s="73"/>
      <c r="J22" s="73"/>
      <c r="K22" s="73"/>
      <c r="L22" s="73"/>
      <c r="M22" s="74"/>
      <c r="N22" s="75"/>
      <c r="O22" s="71"/>
      <c r="P22" s="165" t="str">
        <f t="shared" si="58"/>
        <v/>
      </c>
      <c r="Q22" s="166" t="str">
        <f t="shared" si="46"/>
        <v/>
      </c>
      <c r="R22" s="76" t="str" cm="1">
        <f t="array" aca="1" ref="R22" ca="1">IFERROR(_xlfn.IFS(
AND(AA22&gt;0, OR($G22="Fuel Use",$G22="Custom Fuel")),$N22*$AA22*$AM22*$AN22,
AND(AA22&gt;0,$CZ22="Vehicle Distance (e.g. Road Transport)"),$I22*$AA22*$AM22*$AN22,
AND(AA22&gt;0,$CZ22="Vehicle Distance (e.g. Public or Freight Transport)"),$I22*$AA22*$AM22*$AN22,
AND(AA22&gt;0,$CZ22="Fuel Use and Vehicle Distance"),$N22*$AA22*$AM22*$AN22,
AND(AA22&gt;0,$CZ22="Passenger Distance (e.g. Public Transport)"),$DA22*$AA22*$AM22*$AN22,
AND(AA22&gt;0,$CZ22="Weight Distance (e.g. Freight Transport)"),$DA22*$AA22*$AM22*$AN22),"")</f>
        <v/>
      </c>
      <c r="S22" s="77" t="str" cm="1">
        <f t="array" aca="1" ref="S22" ca="1">IFERROR(_xlfn.IFS(
AND(AG22&gt;-1, $G22="Fuel Use and Vehicle Distance"),$I22*$AG22*$AQ22*$AR22,
AND(AG22&gt;-1, $G22="Vehicle Distance (e.g. Road Transport)"),$I22*$AG22*$AQ22*$AR22,
AND(AG22&gt;-1, $CZ22="Vehicle Distance (e.g. Public or Freight Transport)"),$I22*$AG22*$AQ22*$AR22,
AND(AG22&gt;-1, OR($G22="Fuel Use",$G22="Custom Fuel")), $N22*$AG22*$AQ22*$AR22*1000,
AND(AG22&gt;-1, $G22="Custom Vehicle"),$DA22*$AG22*$AQ22*$AR22*1000,
AND(AG22&gt;-1, AND($G22&lt;&gt;"Custom Vehicle",$CZ22="Weight Distance (e.g. Freight Transport)")),$DA22*$AG22*$AQ22*$AR22*1000,
AND(AG22&gt;-1, AND($G22&lt;&gt;"Custom Vehicle",$CZ22="Passenger Distance (e.g. Public Transport)")), $DA22*$AG22*$AQ22*$AR22*1000),"")</f>
        <v/>
      </c>
      <c r="T22" s="77" t="str" cm="1">
        <f t="array" aca="1" ref="T22" ca="1">IFERROR(_xlfn.IFS(
AND(AJ22&gt;0,$G22="Fuel Use and Vehicle Distance"),$I22*$AJ22*$AS22*$AT22,
AND(AJ22&gt;0,$G22="Vehicle Distance (e.g. Road Transport)"),$I22*$AJ22*$AS22*$AT22,
AND(AJ22&gt;0,$G22="Vehicle Distance (e.g. Public or Freight Transport)"),$I22*$AJ22*$AS22*$AT22,
AND(AJ22&gt;0,OR($G22="Fuel Use",$G22="Custom Fuel")), $N22*$AJ22*$AS22*$AT22*1000,
AND(AJ22&gt;0,$G22="Custom Vehicle"),$DA22*$AJ22*$AS22*$AT22*1000,
AND(AJ22&gt;0,AND($G22&lt;&gt;"Custom Vehicle",$CZ22="Weight Distance (e.g. Freight Transport)")),$DA22*$AJ22*$AS22*$AT22*1000,
AND(AJ22&gt;0,AND($G22&lt;&gt;"Custom Vehicle",$CZ22="Passenger Distance (e.g. Public Transport)")), $DA22*$AJ22*$AS22*$AT22*1000),"")</f>
        <v/>
      </c>
      <c r="U22" s="78" t="str">
        <f t="shared" ca="1" si="47"/>
        <v/>
      </c>
      <c r="V22" s="161" t="str" cm="1">
        <f t="array" aca="1" ref="V22" ca="1">IFERROR(_xlfn.IFS(
AND(AD22&gt;0,OR($CZ22="Fuel Use",$CZ22="Custom Fuel",$CZ22="Fuel Use and Vehicle Distance")),($N22*$AD22*$AO22*$AP22),
AND(AD22&gt;0,$G22="Custom Vehicle"),$DA22*$AD22*$AO22*$AP22,
AND(AD22&gt;0,$CZ22="Vehicle Distance (e.g. Public or Freight Transport)"),$I22*$AD22*$AM22*$AN22,
AND(AD22&gt;0,$CZ22="Weight Distance (e.g. Freight Transport)"),($I22*$K22*$AD22*$AO22*$AP22),
AND(AD22&gt;0,$CZ22="Passenger Distance (e.g. Public Transport)"),$I22*$L22*$AD22*$AO22*$AP22,
AND(AD22&gt;0,$CZ22="Vehicle Distance (e.g. Road Transport)"),($I22*$AD22*$AO22*$AP22)),"")</f>
        <v/>
      </c>
      <c r="W22" s="164" t="str" cm="1">
        <f t="array" aca="1" ref="W22" ca="1">IFERROR(_xlfn.IFS(AND(ISNUMBER(R22),AA22=0),AA22&amp;" "&amp;"("&amp;AB22&amp;" CO2/"&amp;AC22&amp;")",AND(ISNUMBER(R22),AA22&gt;0),ROUND(AA22,INT(3-LOG(AA22)))&amp;" "&amp;"("&amp;AB22&amp;" CO2/"&amp;AC22&amp;")"),"")</f>
        <v/>
      </c>
      <c r="X22" s="164" t="str" cm="1">
        <f t="array" aca="1" ref="X22" ca="1">IFERROR(_xlfn.IFS(AND(ISNUMBER(S22), AG22=0),AG22&amp;" "&amp;"("&amp;AH22&amp;" CH4/"&amp;AI22&amp;")",AND(ISNUMBER(S22), AG22&gt;0),ROUND(AG22,INT(3-LOG(AG22)))&amp;" "&amp;"("&amp;AH22&amp;" CH4/"&amp;AI22&amp;")"),"")</f>
        <v/>
      </c>
      <c r="Y22" s="164" t="str" cm="1">
        <f t="array" aca="1" ref="Y22" ca="1">IFERROR(_xlfn.IFS(AND(ISNUMBER(T22), AJ22=0),AJ22&amp;" "&amp;"("&amp;AK22&amp;" CH4/"&amp;AL22&amp;")",AND(ISNUMBER(T22), AJ22&gt;0),ROUND(AJ22,INT(3-LOG(AJ22)))&amp;" "&amp;"("&amp;AK22&amp;" N2O/"&amp;AL22&amp;")"),"")</f>
        <v/>
      </c>
      <c r="Z22" s="245" t="str" cm="1">
        <f t="array" aca="1" ref="Z22" ca="1">IFERROR(_xlfn.IFS(AND(ISNUMBER(V22),AD22=0),AD22&amp;" "&amp;"("&amp;AE22&amp;" CO2/"&amp;AF22&amp;")",AND(ISNUMBER(V22),AD22&gt;0),ROUND(AD22,INT(3-LOG(AD22)))&amp;" "&amp;"("&amp;AE22&amp;" CO2/"&amp;AF22&amp;")"),"")</f>
        <v/>
      </c>
      <c r="AA22" s="240" t="str" cm="1">
        <f t="array" aca="1" ref="AA22" ca="1">IFERROR(_xlfn.IFS(
OR($G22="Fuel Use",$G22="Fuel Use and Vehicle Distance"),VLOOKUP($M22,INDIRECT("Ref_EF_ByFuel"&amp;"_"&amp;$C22),3,0),
$G22="Vehicle Distance (e.g. Road Transport)",VLOOKUP($H22,INDIRECT("Ref_EF_Vehicle_Distance"&amp;"_"&amp;$C22),3,0),
$G22="Vehicle Distance (e.g. Public or Freight Transport)",VLOOKUP($H22,INDIRECT("Ref_EF_Vehicle_Distance_S3"&amp;"_"&amp;$C22),3,0),
$G22="Custom Vehicle",VLOOKUP($H22,Tbl_vehical_Settings,2,0),
$G22="Custom Fuel",VLOOKUP($M22,Tbl_Fuel_Settings,2,0),
$G22="Weight Distance (e.g. Freight Transport)",VLOOKUP($H22,INDIRECT("Ref_EF_Weight_Distance"&amp;"_"&amp;$C22),3,0),
$G22="Passenger Distance (e.g. Public Transport)",VLOOKUP($H22,INDIRECT("Ref_EF_Public_Transport"&amp;"_"&amp;$C22),3,0)),"")</f>
        <v/>
      </c>
      <c r="AB22" s="31" t="str" cm="1">
        <f t="array" aca="1" ref="AB22" ca="1">IFERROR(_xlfn.IFS(
OR($G22="Fuel Use",$G22="Fuel Use and Vehicle Distance"),VLOOKUP($M22,INDIRECT("Ref_EF_ByFuel"&amp;"_"&amp;$C22),5,0),
$G22="Vehicle Distance (e.g. Road Transport)",VLOOKUP($H22,INDIRECT("Ref_EF_Vehicle_Distance"&amp;"_"&amp;$C22),5,0),
$G22="Vehicle Distance (e.g. Public or Freight Transport)",VLOOKUP($H22,INDIRECT("Ref_EF_Vehicle_Distance_S3"&amp;"_"&amp;$C22),5,0),
$G22="Custom Vehicle",VLOOKUP($H22,Tbl_vehical_Settings,6,0),
$G22="Custom Fuel",VLOOKUP($M22,Tbl_Fuel_Settings,6,0),
$G22="Weight Distance (e.g. Freight Transport)",VLOOKUP($H22,INDIRECT("Ref_EF_Weight_Distance"&amp;"_"&amp;$C22),5,0),
$G22="Passenger Distance (e.g. Public Transport)",VLOOKUP($H22,INDIRECT("Ref_EF_Public_Transport"&amp;"_"&amp;$C22),5,0)),"")</f>
        <v/>
      </c>
      <c r="AC22" s="31" t="str" cm="1">
        <f t="array" aca="1" ref="AC22" ca="1">IFERROR(_xlfn.IFS(
OR($G22="Fuel Use",$G22="Fuel Use and Vehicle Distance"),VLOOKUP($M22,INDIRECT("Ref_EF_ByFuel"&amp;"_"&amp;$C22),6,0),
$G22="Vehicle Distance (e.g. Road Transport)",VLOOKUP($H22,INDIRECT("Ref_EF_Vehicle_Distance"&amp;"_"&amp;$C22),6,0),
$G22="Vehicle Distance (e.g. Public or Freight Transport)",VLOOKUP($H22,INDIRECT("Ref_EF_Vehicle_Distance_S3"&amp;"_"&amp;$C22),6,0),
$G22="Custom Vehicle",VLOOKUP($H22,Tbl_vehical_Settings,7,0),
$G22="Custom Fuel",VLOOKUP($M22,Tbl_Fuel_Settings,7,0),
$G22="Weight Distance (e.g. Freight Transport)",VLOOKUP($H22,INDIRECT("Ref_EF_Weight_Distance"&amp;"_"&amp;$C22),6,0),
$G22="Passenger Distance (e.g. Public Transport)",VLOOKUP($H22,INDIRECT("Ref_EF_Public_Transport"&amp;"_"&amp;$C22),6,0)),"")</f>
        <v/>
      </c>
      <c r="AD22" s="31" t="str" cm="1">
        <f t="array" aca="1" ref="AD22" ca="1">IFERROR(_xlfn.IFS(
OR($G22="Fuel Use",$G22="Fuel Use and Vehicle Distance"),VLOOKUP($M22,INDIRECT("Ref_EF_ByFuel"&amp;"_"&amp;$C22),4,0),
$G22="Vehicle Distance (e.g. Road Transport)",VLOOKUP($H22,INDIRECT("Ref_EF_Vehicle_Distance"&amp;"_"&amp;$C22),4,0),
$G22="Vehicle Distance (e.g. Public or Freight Transport)",VLOOKUP($H22,INDIRECT("Ref_EF_Vehicle_Distance_S3"&amp;"_"&amp;$C22),4,0),
$G22="Custom Vehicle",VLOOKUP($H22,Tbl_vehical_Settings,5,0),
$G22="Custom Fuel",VLOOKUP($M22,Tbl_Fuel_Settings,5,0),
$G22="Weight Distance (e.g. Freight Transport)",VLOOKUP($H22,INDIRECT("Ref_EF_Weight_Distance"&amp;"_"&amp;$C22),4,0),
$G22="Passenger Distance (e.g. Public Transport)",VLOOKUP($H22,INDIRECT("Ref_EF_Public_Transport"&amp;"_"&amp;$C22),4,0)),"")</f>
        <v/>
      </c>
      <c r="AE22" s="31" t="str" cm="1">
        <f t="array" aca="1" ref="AE22" ca="1">IFERROR(_xlfn.IFS(
OR($G22="Fuel Use",$G22="Fuel Use and Vehicle Distance"),VLOOKUP($M22,INDIRECT("Ref_EF_ByFuel"&amp;"_"&amp;$C22),5,0),
$G22="Vehicle Distance (e.g. Road Transport)",VLOOKUP($H22,INDIRECT("Ref_EF_Vehicle_Distance"&amp;"_"&amp;$C22),5,0),
$G22="Vehicle Distance (e.g. Public or Freight Transport)",VLOOKUP($H22,INDIRECT("Ref_EF_Vehicle_Distance_S3"&amp;"_"&amp;$C22),5,0),
$G22="Custom Vehicle",VLOOKUP($H22,Tbl_vehical_Settings,6,0),
$G22="Custom Fuel",VLOOKUP($M22,Tbl_Fuel_Settings,6,0),
$G22="Weight Distance (e.g. Freight Transport)",VLOOKUP($H22,INDIRECT("Ref_EF_Weight_Distance"&amp;"_"&amp;$C22),5,0),
$G22="Passenger Distance (e.g. Public Transport)",VLOOKUP($H22,INDIRECT("Ref_EF_Public_Transport"&amp;"_"&amp;$C22),5,0)),"")</f>
        <v/>
      </c>
      <c r="AF22" s="31" t="str" cm="1">
        <f t="array" aca="1" ref="AF22" ca="1">IFERROR(_xlfn.IFS(
OR($G22="Fuel Use",$G22="Fuel Use and Vehicle Distance"),VLOOKUP($M22,INDIRECT("Ref_EF_ByFuel"&amp;"_"&amp;$C22),6,0),
$G22="Vehicle Distance (e.g. Road Transport)",VLOOKUP($H22,INDIRECT("Ref_EF_Vehicle_Distance"&amp;"_"&amp;$C22),6,0),
$G22="Vehicle Distance (e.g. Public or Freight Transport)",VLOOKUP($H22,INDIRECT("Ref_EF_Vehicle_Distance_S3"&amp;"_"&amp;$C22),6,0),
$G22="Custom Vehicle",VLOOKUP($H22,Tbl_vehical_Settings,7,0),
$G22="Custom Fuel",VLOOKUP($M22,Tbl_Fuel_Settings,7,0),
$G22="Weight Distance (e.g. Freight Transport)",VLOOKUP($H22,INDIRECT("Ref_EF_Weight_Distance"&amp;"_"&amp;$C22),6,0),
$G22="Passenger Distance (e.g. Public Transport)",VLOOKUP($H22,INDIRECT("Ref_EF_Public_Transport"&amp;"_"&amp;$C22),6,0)),"")</f>
        <v/>
      </c>
      <c r="AG22" s="31" t="str" cm="1">
        <f t="array" aca="1" ref="AG22" ca="1">IFERROR(_xlfn.IFS(
AND($G22="Fuel Use",$E22&lt;&gt;"Road"),VLOOKUP($H22,INDIRECT("Ref_EF_ByFuel_CH4"&amp;"_"&amp;$C22),3,0),
$G22="Vehicle Distance (e.g. Road Transport)",VLOOKUP($H22,INDIRECT("Ref_EF_Vehicle_Distance"&amp;"_"&amp;$C22),7,0),
$G22="Vehicle Distance (e.g. Public or Freight Transport)",VLOOKUP($H22,INDIRECT("Ref_EF_Vehicle_Distance_S3"&amp;"_"&amp;$C22),7,0),
$G22="Fuel Use and Vehicle Distance",VLOOKUP($H22,INDIRECT("Ref_EF_Fuel_Vehicle_Distance"&amp;"_"&amp;$C22),3,0),
$G22="Custom Vehicle",VLOOKUP($H22,Tbl_vehical_Settings,3,0),
$G22="Custom Fuel",VLOOKUP($M22,Tbl_Fuel_Settings,3,0),
$G22="Weight Distance (e.g. Freight Transport)",VLOOKUP($H22,INDIRECT("Ref_EF_Weight_Distance_CH4"&amp;"_"&amp;$C22),3,0),
$G22="Passenger Distance (e.g. Public Transport)",VLOOKUP($H22,INDIRECT("Ref_EF_Public_Transport_CH4"&amp;"_"&amp;$C22),7,0)),"")</f>
        <v/>
      </c>
      <c r="AH22" s="31" t="str" cm="1">
        <f t="array" aca="1" ref="AH22" ca="1">IFERROR(_xlfn.IFS(
AND($G22="Fuel Use",$E22&lt;&gt;"Road"),VLOOKUP($H22,INDIRECT("Ref_EF_ByFuel_CH4"&amp;"_"&amp;$C22),4,0),
$G22="Vehicle Distance (e.g. Road Transport)",VLOOKUP($H22,INDIRECT("Ref_EF_Vehicle_Distance"&amp;"_"&amp;$C22),8,0),
$G22="Vehicle Distance (e.g. Public or Freight Transport)",VLOOKUP($H22,INDIRECT("Ref_EF_Vehicle_Distance_S3"&amp;"_"&amp;$C22),8,0),
$G22="Fuel Use and Vehicle Distance",VLOOKUP($H22,INDIRECT("Ref_EF_Fuel_Vehicle_Distance"&amp;"_"&amp;$C22),4,0),
$G22="Custom Vehicle",VLOOKUP($H22,Tbl_vehical_Settings,6,0),
$G22="Custom Fuel",VLOOKUP($M22,Tbl_Fuel_Settings,6,0),
$G22="Weight Distance (e.g. Freight Transport)",VLOOKUP($H22,INDIRECT("Ref_EF_Weight_Distance_CH4"&amp;"_"&amp;$C22),4,0),
$G22="Passenger Distance (e.g. Public Transport)",VLOOKUP($H22,INDIRECT("Ref_EF_Public_Transport_CH4"&amp;"_"&amp;$C22),8,0)),"")</f>
        <v/>
      </c>
      <c r="AI22" s="31" t="str" cm="1">
        <f t="array" aca="1" ref="AI22" ca="1">IFERROR(_xlfn.IFS(
AND($G22="Fuel Use",$E22&lt;&gt;"Road"),VLOOKUP($H22,INDIRECT("Ref_EF_ByFuel_CH4"&amp;"_"&amp;$C22),5,0),
$G22="Vehicle Distance (e.g. Road Transport)",VLOOKUP($H22,INDIRECT("Ref_EF_Vehicle_Distance"&amp;"_"&amp;$C22),9,0),
$G22="Vehicle Distance (e.g. Public or Freight Transport)",VLOOKUP($H22,INDIRECT("Ref_EF_Vehicle_Distance_S3"&amp;"_"&amp;$C22),9,0),
$G22="Fuel Use and Vehicle Distance",VLOOKUP($H22,INDIRECT("Ref_EF_Fuel_Vehicle_Distance"&amp;"_"&amp;$C22),5,0),
$G22="Custom Vehicle",VLOOKUP($H22,Tbl_vehical_Settings,7,0),
$G22="Custom Fuel",VLOOKUP($M22,Tbl_Fuel_Settings,7,0),
$G22="Weight Distance (e.g. Freight Transport)",VLOOKUP($H22,INDIRECT("Ref_EF_Weight_Distance_CH4"&amp;"_"&amp;$C22),5,0),
$G22="Passenger Distance (e.g. Public Transport)",VLOOKUP($H22,INDIRECT("Ref_EF_Public_Transport_CH4"&amp;"_"&amp;$C22),9,0)),"")</f>
        <v/>
      </c>
      <c r="AJ22" s="31" t="str" cm="1">
        <f t="array" aca="1" ref="AJ22" ca="1">IFERROR(_xlfn.IFS(
AND($G22="Fuel Use",$E22&lt;&gt;"Road"),VLOOKUP($H22,INDIRECT("Ref_EF_ByFuel_CH4"&amp;"_"&amp;$C22),6,0),
$G22="Vehicle Distance (e.g. Road Transport)",VLOOKUP($H22,INDIRECT("Ref_EF_Vehicle_Distance"&amp;"_"&amp;$C22),10,0),
$G22="Vehicle Distance (e.g. Public or Freight Transport)",VLOOKUP($H22,INDIRECT("Ref_EF_Vehicle_Distance_S3"&amp;"_"&amp;$C22),10,0),
$G22="Fuel Use and Vehicle Distance",VLOOKUP($H22,INDIRECT("Ref_EF_Fuel_Vehicle_Distance"&amp;"_"&amp;$C22),6,0),
$G22="Custom Vehicle",VLOOKUP($H22,Tbl_vehical_Settings,4,0),
$G22="Custom Fuel",VLOOKUP($M22,Tbl_Fuel_Settings,4,0),
$G22="Weight Distance (e.g. Freight Transport)",VLOOKUP($H22,INDIRECT("Ref_EF_Weight_Distance_CH4"&amp;"_"&amp;$C22),6,0),
$G22="Passenger Distance (e.g. Public Transport)",VLOOKUP($H22,INDIRECT("Ref_EF_Public_Transport_CH4"&amp;"_"&amp;$C22),10,0)),"")</f>
        <v/>
      </c>
      <c r="AK22" s="31" t="str" cm="1">
        <f t="array" aca="1" ref="AK22" ca="1">IFERROR(_xlfn.IFS(
AND($G22="Fuel Use",$E22&lt;&gt;"Road"),VLOOKUP($H22,INDIRECT("Ref_EF_ByFuel_CH4"&amp;"_"&amp;$C22),7,0),
$G22="Vehicle Distance (e.g. Road Transport)",VLOOKUP($H22,INDIRECT("Ref_EF_Vehicle_Distance"&amp;"_"&amp;$C22),11,0),
$G22="Vehicle Distance (e.g. Public or Freight Transport)",VLOOKUP($H22,INDIRECT("Ref_EF_Vehicle_Distance_S3"&amp;"_"&amp;$C22),11,0),
$G22="Fuel Use and Vehicle Distance",VLOOKUP($H22,INDIRECT("Ref_EF_Fuel_Vehicle_Distance"&amp;"_"&amp;$C22),7,0),
$G22="Custom Vehicle",VLOOKUP($H22,Tbl_vehical_Settings,6,0),
$G22="Custom Fuel",VLOOKUP($M22,Tbl_Fuel_Settings,6,0),
$G22="Weight Distance (e.g. Freight Transport)",VLOOKUP($H22,INDIRECT("Ref_EF_Weight_Distance_CH4"&amp;"_"&amp;$C22),7,0),
$G22="Passenger Distance (e.g. Public Transport)",VLOOKUP($H22,INDIRECT("Ref_EF_Public_Transport_CH4"&amp;"_"&amp;$C22),11,0)),"")</f>
        <v/>
      </c>
      <c r="AL22" s="31" t="str" cm="1">
        <f t="array" aca="1" ref="AL22" ca="1">IFERROR(_xlfn.IFS(
AND($G22="Fuel Use",$E22&lt;&gt;"Road"),VLOOKUP($H22,INDIRECT("Ref_EF_ByFuel_CH4"&amp;"_"&amp;$C22),8,0),
$G22="Vehicle Distance (e.g. Road Transport)",VLOOKUP($H22,INDIRECT("Ref_EF_Vehicle_Distance"&amp;"_"&amp;$C22),12,0),
$G22="Vehicle Distance (e.g. Public or Freight Transport)",VLOOKUP($H22,INDIRECT("Ref_EF_Vehicle_Distance_S3"&amp;"_"&amp;$C22),12,0),
$G22="Fuel Use and Vehicle Distance",VLOOKUP($H22,INDIRECT("Ref_EF_Fuel_Vehicle_Distance"&amp;"_"&amp;$C22),8,0),
$G22="Custom Vehicle",VLOOKUP($H22,Tbl_vehical_Settings,7,0),
$G22="Custom Fuel",VLOOKUP($M22,Tbl_Fuel_Settings,7,0),
$G22="Weight Distance (e.g. Freight Transport)",VLOOKUP($H22,INDIRECT("Ref_EF_Weight_Distance_CH4"&amp;"_"&amp;$C22),8,0),
$G22="Passenger Distance (e.g. Public Transport)",VLOOKUP($H22,INDIRECT("Ref_EF_Public_Transport_CH4"&amp;"_"&amp;$C22),12,0)),"")</f>
        <v/>
      </c>
      <c r="AM22" s="31" t="e">
        <f ca="1">INDEX(Ref_Master_Unit_Table,MATCH($AB22,REF_To_Unit,0),MATCH('Reference - Lookup and Unit'!$A$11,Ref_From_Units,0))</f>
        <v>#N/A</v>
      </c>
      <c r="AN22" s="31" t="e">
        <f t="shared" ca="1" si="0"/>
        <v>#N/A</v>
      </c>
      <c r="AO22" s="31" t="e">
        <f ca="1">INDEX(Ref_Master_Unit_Table,MATCH($AE22,REF_To_Unit,0),MATCH('Reference - Lookup and Unit'!$A$11,Ref_From_Units,0))</f>
        <v>#N/A</v>
      </c>
      <c r="AP22" s="31" t="e">
        <f t="shared" ca="1" si="59"/>
        <v>#N/A</v>
      </c>
      <c r="AQ22" s="31" t="e">
        <f ca="1">INDEX(Ref_Master_Unit_Table,MATCH($AH22,REF_To_Unit,0),MATCH('Reference - Lookup and Unit'!$A$11,Ref_From_Units,0))</f>
        <v>#N/A</v>
      </c>
      <c r="AR22" s="31" t="e">
        <f t="shared" ca="1" si="60"/>
        <v>#N/A</v>
      </c>
      <c r="AS22" s="31" t="e">
        <f ca="1">INDEX(Ref_Master_Unit_Table,MATCH($AK22,REF_To_Unit,0),MATCH('Reference - Lookup and Unit'!$A$11,Ref_From_Units,0))</f>
        <v>#N/A</v>
      </c>
      <c r="AT22" s="31" t="e">
        <f t="shared" ca="1" si="61"/>
        <v>#N/A</v>
      </c>
      <c r="AU22" s="31" t="e" cm="1">
        <f t="array" aca="1" ref="AU22"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22" s="31">
        <f t="shared" ca="1" si="48"/>
        <v>27.9</v>
      </c>
      <c r="AW22" s="31">
        <f t="shared" ca="1" si="49"/>
        <v>273</v>
      </c>
      <c r="AX22" s="31" t="e" cm="1">
        <f t="array" aca="1" ref="AX22"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22" s="25" t="e" cm="1">
        <f t="array" ref="AY22">_xlfn.IFS(
AND($E22&lt;&gt;"",$G22="Custom Fuel"),("Settings_Custom_Fuels"),
AND($E22&lt;&gt;"",$G22="Custom vehicle"),("Settings_Custom_Vehicle"),
AND($E22&lt;&gt;"",$G22="Fuel Use"),("Ref_DD_vehicle_FuelUse"&amp;"_"&amp;C22&amp;"_"&amp;E22),
AND($E22&lt;&gt;"",$G22="Fuel Use and Vehicle Distance"),("Ref_DD_Fuel_VehicleDistance"&amp;"_"&amp;C22&amp;"_"&amp;E22),
AND($E22&lt;&gt;"",$G22="Vehicle Distance (e.g. Road Transport)"),("Ref_DD_vehicle_VehicleDistance"&amp;"_"&amp;C22&amp;"_"&amp;E22),
AND($E22&lt;&gt;"",$G22="Weight Distance (e.g. Freight Transport)"),("Ref_DD_vehicle_WeightDistance"&amp;"_"&amp;C22&amp;"_"&amp;E22),
AND($E22&lt;&gt;"",$G22="Vehicle Distance (e.g. Public or Freight Transport)"),("Ref_DD_vehicle_DistanceS3"&amp;"_"&amp;C22),
AND($E22&lt;&gt;"",$G22="Passenger Distance (e.g. Public Transport)"),("Ref_DD_vehicle_Passenger"&amp;"_"&amp;C22&amp;"_"&amp;E22),
AND($E22="",$G22="Fuel Use"),("Ref_DD_vehicle_FuelUse"&amp;"_"&amp;C22),
AND($E22="",OR($G22="Vehicle Distance (e.g. Road Transport)",$G22="Fuel Use and Vehicle Distance")),("Ref_DD_vehicle_VehicleDistance"&amp;"_"&amp;C22),
AND($E22="",$G22="Weight Distance (e.g. Freight Transport)"),("Ref_DD_vehicle_WeightDistance"&amp;"_"&amp;C22),
AND($E22="",$G22="Vehicle Distance (e.g. Public or Freight Transport)"),("Ref_DD_vehicle_DistanceS3"&amp;"_"&amp;C22),
AND($E22="",$G22="Passenger Distance (e.g. Public Transport)"),("Ref_DD_vehicle_Passenger"&amp;"_"&amp;C22))</f>
        <v>#N/A</v>
      </c>
      <c r="AZ22" s="25" t="b">
        <f t="shared" ca="1" si="4"/>
        <v>0</v>
      </c>
      <c r="BA22" s="25" t="str">
        <f t="shared" si="5"/>
        <v/>
      </c>
      <c r="BB22" s="25" t="str">
        <f t="shared" si="6"/>
        <v/>
      </c>
      <c r="BC22" s="25" t="str">
        <f t="shared" si="50"/>
        <v/>
      </c>
      <c r="BD22" s="25" t="str">
        <f t="shared" si="51"/>
        <v/>
      </c>
      <c r="BE22" s="25" t="str">
        <f t="shared" si="52"/>
        <v/>
      </c>
      <c r="BF22" s="25" t="str">
        <f t="shared" si="53"/>
        <v/>
      </c>
      <c r="BG22" s="25" t="str">
        <f t="shared" si="7"/>
        <v/>
      </c>
      <c r="BH22" s="25" t="str">
        <f t="shared" si="8"/>
        <v/>
      </c>
      <c r="BI22" s="25" t="str">
        <f t="shared" si="54"/>
        <v/>
      </c>
      <c r="BJ22" s="25" t="str">
        <f t="shared" si="55"/>
        <v/>
      </c>
      <c r="BK22" s="25" t="str">
        <f t="shared" si="56"/>
        <v/>
      </c>
      <c r="BL22" s="25" t="str">
        <f t="shared" si="57"/>
        <v/>
      </c>
      <c r="BM22" s="25" t="str">
        <f t="shared" si="9"/>
        <v/>
      </c>
      <c r="BN22" s="25" t="str">
        <f t="shared" ca="1" si="10"/>
        <v/>
      </c>
      <c r="BO22" s="25" t="str">
        <f t="shared" si="11"/>
        <v/>
      </c>
      <c r="BP22" s="25" t="str">
        <f t="shared" si="12"/>
        <v/>
      </c>
      <c r="BQ22" s="25" t="str">
        <f t="shared" si="13"/>
        <v/>
      </c>
      <c r="BR22" s="25" t="str">
        <f t="shared" si="14"/>
        <v/>
      </c>
      <c r="BS22" s="25" t="str">
        <f t="shared" si="15"/>
        <v/>
      </c>
      <c r="BT22" s="25" t="str">
        <f t="shared" si="16"/>
        <v/>
      </c>
      <c r="BU22" s="25" t="str">
        <f t="shared" si="17"/>
        <v/>
      </c>
      <c r="BV22" s="25" t="str">
        <f t="shared" si="18"/>
        <v/>
      </c>
      <c r="BW22" s="25" t="str">
        <f t="shared" si="19"/>
        <v/>
      </c>
      <c r="BX22" s="25" t="str">
        <f t="shared" si="20"/>
        <v/>
      </c>
      <c r="BY22" s="25" t="str">
        <f t="shared" si="21"/>
        <v/>
      </c>
      <c r="BZ22" s="25" t="str">
        <f t="shared" si="22"/>
        <v/>
      </c>
      <c r="CA22" s="25" t="str">
        <f t="shared" si="23"/>
        <v/>
      </c>
      <c r="CB22" s="25" t="str">
        <f t="shared" si="24"/>
        <v/>
      </c>
      <c r="CC22" s="25" t="str">
        <f t="shared" si="25"/>
        <v/>
      </c>
      <c r="CD22" s="25" t="str">
        <f t="shared" si="26"/>
        <v/>
      </c>
      <c r="CE22" s="25" t="str">
        <f t="shared" si="27"/>
        <v/>
      </c>
      <c r="CF22" s="25" t="str">
        <f t="shared" si="28"/>
        <v/>
      </c>
      <c r="CG22" s="25" t="str">
        <f t="shared" si="29"/>
        <v/>
      </c>
      <c r="CH22" s="25" t="str">
        <f t="shared" si="30"/>
        <v/>
      </c>
      <c r="CI22" s="25" t="str">
        <f t="shared" si="31"/>
        <v/>
      </c>
      <c r="CJ22" s="25" t="str">
        <f t="shared" si="32"/>
        <v/>
      </c>
      <c r="CK22" s="25" t="str">
        <f t="shared" si="33"/>
        <v/>
      </c>
      <c r="CL22" s="25" t="str">
        <f t="shared" si="34"/>
        <v/>
      </c>
      <c r="CM22" s="25" t="str">
        <f t="shared" si="35"/>
        <v/>
      </c>
      <c r="CN22" s="25" t="str">
        <f t="shared" si="36"/>
        <v/>
      </c>
      <c r="CO22" s="25" t="str">
        <f t="shared" si="37"/>
        <v/>
      </c>
      <c r="CP22" s="25" t="str">
        <f t="shared" si="38"/>
        <v/>
      </c>
      <c r="CQ22" s="25" t="str">
        <f t="shared" si="39"/>
        <v/>
      </c>
      <c r="CR22" s="25" t="str">
        <f t="shared" si="40"/>
        <v/>
      </c>
      <c r="CS22" s="25" t="str">
        <f t="shared" si="41"/>
        <v/>
      </c>
      <c r="CT22" s="25" t="str">
        <f t="shared" si="42"/>
        <v/>
      </c>
      <c r="CU22" s="25" t="str">
        <f t="shared" si="43"/>
        <v/>
      </c>
      <c r="CV22" s="25" t="str">
        <f t="shared" si="44"/>
        <v/>
      </c>
      <c r="CW22" s="25" t="str">
        <f t="shared" si="45"/>
        <v/>
      </c>
      <c r="CX22" s="25" t="str" cm="1">
        <f t="array" ref="CX22">_xlfn.IFNA(_xlfn.IFS(
$G22="Weight Distance (e.g. Freight Transport)","Ref_DD_WeightDistanceUnits",
$G22="Passenger Distance (e.g. Public Transport)","Ref_DD_PasengerDistanceUnits",
$G22="Vehicle Distance (e.g. Road Transport)", "Ref_DD_DistanceUnit",
$G22="Vehicle Distance (e.g. Public or Freight Transport)","Ref_DD_DistanceUnit",
$G22="Fuel Use and Vehicle Distance", "Ref_DD_DistanceUnit",
$G22="Custom Vehicle",VLOOKUP($H22,'2. Settings'!$B$39:$I$54,8,FALSE)),"")</f>
        <v/>
      </c>
      <c r="CY22" s="27" t="str">
        <f ca="1">IF(AND(ISERROR(#REF!*$AU22)=TRUE,ISERROR((S22/1000)*$AV22)=TRUE,ISERROR((T22/1000)*$AW22)=FALSE),((T22/1000)*$AW22),"")</f>
        <v/>
      </c>
      <c r="CZ22" s="27" cm="1">
        <f t="array" ref="CZ22">IFERROR(_xlfn.IFS(
AND($G22="Custom vehicle",OR($J22="Passenger Mile",$J22="Passenger Kilometer")),"Passenger Distance (e.g. Public Transport)",
AND($G22="Custom vehicle",OR($J22="Tonne Mile",$J22="Tonne Kilometer",$J22="Short Ton Kilometer",$J22="Short Ton Mile")),"Weight Distance (e.g. Freight Transport)",
AND($G22="Custom vehicle",OR($J22="Mile",$J22="Kilometer")),"Vehicle Distance (e.g. Road Transport)",
$G22&lt;&gt;"Custom vehicle",$G22),"")</f>
        <v>0</v>
      </c>
      <c r="DA22" s="27" t="str" cm="1">
        <f t="array" ref="DA22">IFERROR(_xlfn.IFS(OR(J22="Tonne Kilometer",J22="Tonne Mile",J22="Short Ton Mile",J22="Short Ton Kilometer"),I22*K22,OR(J22="Passenger Kilometer",J22="Passenger Mile"),I22*L22,OR(J22="Kilometer",J22="Mile"),$I22),"")</f>
        <v/>
      </c>
    </row>
    <row r="23" spans="2:105" x14ac:dyDescent="0.25">
      <c r="B23" s="244"/>
      <c r="C23" s="71" t="str" cm="1">
        <f t="array" ref="C23">IFERROR(_xlfn.IFS($D23="Other", D23&amp;"_" &amp;Ref_Other_to,OR($D23="UK", $D23="US"),$D23),"")</f>
        <v/>
      </c>
      <c r="D23" s="71"/>
      <c r="E23" s="71"/>
      <c r="F23" s="71"/>
      <c r="G23" s="72"/>
      <c r="H23" s="72"/>
      <c r="I23" s="73"/>
      <c r="J23" s="73"/>
      <c r="K23" s="73"/>
      <c r="L23" s="73"/>
      <c r="M23" s="74"/>
      <c r="N23" s="75"/>
      <c r="O23" s="71"/>
      <c r="P23" s="165" t="str">
        <f t="shared" si="58"/>
        <v/>
      </c>
      <c r="Q23" s="166" t="str">
        <f t="shared" si="46"/>
        <v/>
      </c>
      <c r="R23" s="76" t="str" cm="1">
        <f t="array" aca="1" ref="R23" ca="1">IFERROR(_xlfn.IFS(
AND(AA23&gt;0, OR($G23="Fuel Use",$G23="Custom Fuel")),$N23*$AA23*$AM23*$AN23,
AND(AA23&gt;0,$CZ23="Vehicle Distance (e.g. Road Transport)"),$I23*$AA23*$AM23*$AN23,
AND(AA23&gt;0,$CZ23="Vehicle Distance (e.g. Public or Freight Transport)"),$I23*$AA23*$AM23*$AN23,
AND(AA23&gt;0,$CZ23="Fuel Use and Vehicle Distance"),$N23*$AA23*$AM23*$AN23,
AND(AA23&gt;0,$CZ23="Passenger Distance (e.g. Public Transport)"),$DA23*$AA23*$AM23*$AN23,
AND(AA23&gt;0,$CZ23="Weight Distance (e.g. Freight Transport)"),$DA23*$AA23*$AM23*$AN23),"")</f>
        <v/>
      </c>
      <c r="S23" s="77" t="str" cm="1">
        <f t="array" aca="1" ref="S23" ca="1">IFERROR(_xlfn.IFS(
AND(AG23&gt;-1, $G23="Fuel Use and Vehicle Distance"),$I23*$AG23*$AQ23*$AR23,
AND(AG23&gt;-1, $G23="Vehicle Distance (e.g. Road Transport)"),$I23*$AG23*$AQ23*$AR23,
AND(AG23&gt;-1, $CZ23="Vehicle Distance (e.g. Public or Freight Transport)"),$I23*$AG23*$AQ23*$AR23,
AND(AG23&gt;-1, OR($G23="Fuel Use",$G23="Custom Fuel")), $N23*$AG23*$AQ23*$AR23*1000,
AND(AG23&gt;-1, $G23="Custom Vehicle"),$DA23*$AG23*$AQ23*$AR23*1000,
AND(AG23&gt;-1, AND($G23&lt;&gt;"Custom Vehicle",$CZ23="Weight Distance (e.g. Freight Transport)")),$DA23*$AG23*$AQ23*$AR23*1000,
AND(AG23&gt;-1, AND($G23&lt;&gt;"Custom Vehicle",$CZ23="Passenger Distance (e.g. Public Transport)")), $DA23*$AG23*$AQ23*$AR23*1000),"")</f>
        <v/>
      </c>
      <c r="T23" s="77" t="str" cm="1">
        <f t="array" aca="1" ref="T23" ca="1">IFERROR(_xlfn.IFS(
AND(AJ23&gt;0,$G23="Fuel Use and Vehicle Distance"),$I23*$AJ23*$AS23*$AT23,
AND(AJ23&gt;0,$G23="Vehicle Distance (e.g. Road Transport)"),$I23*$AJ23*$AS23*$AT23,
AND(AJ23&gt;0,$G23="Vehicle Distance (e.g. Public or Freight Transport)"),$I23*$AJ23*$AS23*$AT23,
AND(AJ23&gt;0,OR($G23="Fuel Use",$G23="Custom Fuel")), $N23*$AJ23*$AS23*$AT23*1000,
AND(AJ23&gt;0,$G23="Custom Vehicle"),$DA23*$AJ23*$AS23*$AT23*1000,
AND(AJ23&gt;0,AND($G23&lt;&gt;"Custom Vehicle",$CZ23="Weight Distance (e.g. Freight Transport)")),$DA23*$AJ23*$AS23*$AT23*1000,
AND(AJ23&gt;0,AND($G23&lt;&gt;"Custom Vehicle",$CZ23="Passenger Distance (e.g. Public Transport)")), $DA23*$AJ23*$AS23*$AT23*1000),"")</f>
        <v/>
      </c>
      <c r="U23" s="78" t="str">
        <f t="shared" ca="1" si="47"/>
        <v/>
      </c>
      <c r="V23" s="161" t="str" cm="1">
        <f t="array" aca="1" ref="V23" ca="1">IFERROR(_xlfn.IFS(
AND(AD23&gt;0,OR($CZ23="Fuel Use",$CZ23="Custom Fuel",$CZ23="Fuel Use and Vehicle Distance")),($N23*$AD23*$AO23*$AP23),
AND(AD23&gt;0,$G23="Custom Vehicle"),$DA23*$AD23*$AO23*$AP23,
AND(AD23&gt;0,$CZ23="Vehicle Distance (e.g. Public or Freight Transport)"),$I23*$AD23*$AM23*$AN23,
AND(AD23&gt;0,$CZ23="Weight Distance (e.g. Freight Transport)"),($I23*$K23*$AD23*$AO23*$AP23),
AND(AD23&gt;0,$CZ23="Passenger Distance (e.g. Public Transport)"),$I23*$L23*$AD23*$AO23*$AP23,
AND(AD23&gt;0,$CZ23="Vehicle Distance (e.g. Road Transport)"),($I23*$AD23*$AO23*$AP23)),"")</f>
        <v/>
      </c>
      <c r="W23" s="164" t="str" cm="1">
        <f t="array" aca="1" ref="W23" ca="1">IFERROR(_xlfn.IFS(AND(ISNUMBER(R23),AA23=0),AA23&amp;" "&amp;"("&amp;AB23&amp;" CO2/"&amp;AC23&amp;")",AND(ISNUMBER(R23),AA23&gt;0),ROUND(AA23,INT(3-LOG(AA23)))&amp;" "&amp;"("&amp;AB23&amp;" CO2/"&amp;AC23&amp;")"),"")</f>
        <v/>
      </c>
      <c r="X23" s="164" t="str" cm="1">
        <f t="array" aca="1" ref="X23" ca="1">IFERROR(_xlfn.IFS(AND(ISNUMBER(S23), AG23=0),AG23&amp;" "&amp;"("&amp;AH23&amp;" CH4/"&amp;AI23&amp;")",AND(ISNUMBER(S23), AG23&gt;0),ROUND(AG23,INT(3-LOG(AG23)))&amp;" "&amp;"("&amp;AH23&amp;" CH4/"&amp;AI23&amp;")"),"")</f>
        <v/>
      </c>
      <c r="Y23" s="164" t="str" cm="1">
        <f t="array" aca="1" ref="Y23" ca="1">IFERROR(_xlfn.IFS(AND(ISNUMBER(T23), AJ23=0),AJ23&amp;" "&amp;"("&amp;AK23&amp;" CH4/"&amp;AL23&amp;")",AND(ISNUMBER(T23), AJ23&gt;0),ROUND(AJ23,INT(3-LOG(AJ23)))&amp;" "&amp;"("&amp;AK23&amp;" N2O/"&amp;AL23&amp;")"),"")</f>
        <v/>
      </c>
      <c r="Z23" s="245" t="str" cm="1">
        <f t="array" aca="1" ref="Z23" ca="1">IFERROR(_xlfn.IFS(AND(ISNUMBER(V23),AD23=0),AD23&amp;" "&amp;"("&amp;AE23&amp;" CO2/"&amp;AF23&amp;")",AND(ISNUMBER(V23),AD23&gt;0),ROUND(AD23,INT(3-LOG(AD23)))&amp;" "&amp;"("&amp;AE23&amp;" CO2/"&amp;AF23&amp;")"),"")</f>
        <v/>
      </c>
      <c r="AA23" s="240" t="str" cm="1">
        <f t="array" aca="1" ref="AA23" ca="1">IFERROR(_xlfn.IFS(
OR($G23="Fuel Use",$G23="Fuel Use and Vehicle Distance"),VLOOKUP($M23,INDIRECT("Ref_EF_ByFuel"&amp;"_"&amp;$C23),3,0),
$G23="Vehicle Distance (e.g. Road Transport)",VLOOKUP($H23,INDIRECT("Ref_EF_Vehicle_Distance"&amp;"_"&amp;$C23),3,0),
$G23="Vehicle Distance (e.g. Public or Freight Transport)",VLOOKUP($H23,INDIRECT("Ref_EF_Vehicle_Distance_S3"&amp;"_"&amp;$C23),3,0),
$G23="Custom Vehicle",VLOOKUP($H23,Tbl_vehical_Settings,2,0),
$G23="Custom Fuel",VLOOKUP($M23,Tbl_Fuel_Settings,2,0),
$G23="Weight Distance (e.g. Freight Transport)",VLOOKUP($H23,INDIRECT("Ref_EF_Weight_Distance"&amp;"_"&amp;$C23),3,0),
$G23="Passenger Distance (e.g. Public Transport)",VLOOKUP($H23,INDIRECT("Ref_EF_Public_Transport"&amp;"_"&amp;$C23),3,0)),"")</f>
        <v/>
      </c>
      <c r="AB23" s="31" t="str" cm="1">
        <f t="array" aca="1" ref="AB23" ca="1">IFERROR(_xlfn.IFS(
OR($G23="Fuel Use",$G23="Fuel Use and Vehicle Distance"),VLOOKUP($M23,INDIRECT("Ref_EF_ByFuel"&amp;"_"&amp;$C23),5,0),
$G23="Vehicle Distance (e.g. Road Transport)",VLOOKUP($H23,INDIRECT("Ref_EF_Vehicle_Distance"&amp;"_"&amp;$C23),5,0),
$G23="Vehicle Distance (e.g. Public or Freight Transport)",VLOOKUP($H23,INDIRECT("Ref_EF_Vehicle_Distance_S3"&amp;"_"&amp;$C23),5,0),
$G23="Custom Vehicle",VLOOKUP($H23,Tbl_vehical_Settings,6,0),
$G23="Custom Fuel",VLOOKUP($M23,Tbl_Fuel_Settings,6,0),
$G23="Weight Distance (e.g. Freight Transport)",VLOOKUP($H23,INDIRECT("Ref_EF_Weight_Distance"&amp;"_"&amp;$C23),5,0),
$G23="Passenger Distance (e.g. Public Transport)",VLOOKUP($H23,INDIRECT("Ref_EF_Public_Transport"&amp;"_"&amp;$C23),5,0)),"")</f>
        <v/>
      </c>
      <c r="AC23" s="31" t="str" cm="1">
        <f t="array" aca="1" ref="AC23" ca="1">IFERROR(_xlfn.IFS(
OR($G23="Fuel Use",$G23="Fuel Use and Vehicle Distance"),VLOOKUP($M23,INDIRECT("Ref_EF_ByFuel"&amp;"_"&amp;$C23),6,0),
$G23="Vehicle Distance (e.g. Road Transport)",VLOOKUP($H23,INDIRECT("Ref_EF_Vehicle_Distance"&amp;"_"&amp;$C23),6,0),
$G23="Vehicle Distance (e.g. Public or Freight Transport)",VLOOKUP($H23,INDIRECT("Ref_EF_Vehicle_Distance_S3"&amp;"_"&amp;$C23),6,0),
$G23="Custom Vehicle",VLOOKUP($H23,Tbl_vehical_Settings,7,0),
$G23="Custom Fuel",VLOOKUP($M23,Tbl_Fuel_Settings,7,0),
$G23="Weight Distance (e.g. Freight Transport)",VLOOKUP($H23,INDIRECT("Ref_EF_Weight_Distance"&amp;"_"&amp;$C23),6,0),
$G23="Passenger Distance (e.g. Public Transport)",VLOOKUP($H23,INDIRECT("Ref_EF_Public_Transport"&amp;"_"&amp;$C23),6,0)),"")</f>
        <v/>
      </c>
      <c r="AD23" s="31" t="str" cm="1">
        <f t="array" aca="1" ref="AD23" ca="1">IFERROR(_xlfn.IFS(
OR($G23="Fuel Use",$G23="Fuel Use and Vehicle Distance"),VLOOKUP($M23,INDIRECT("Ref_EF_ByFuel"&amp;"_"&amp;$C23),4,0),
$G23="Vehicle Distance (e.g. Road Transport)",VLOOKUP($H23,INDIRECT("Ref_EF_Vehicle_Distance"&amp;"_"&amp;$C23),4,0),
$G23="Vehicle Distance (e.g. Public or Freight Transport)",VLOOKUP($H23,INDIRECT("Ref_EF_Vehicle_Distance_S3"&amp;"_"&amp;$C23),4,0),
$G23="Custom Vehicle",VLOOKUP($H23,Tbl_vehical_Settings,5,0),
$G23="Custom Fuel",VLOOKUP($M23,Tbl_Fuel_Settings,5,0),
$G23="Weight Distance (e.g. Freight Transport)",VLOOKUP($H23,INDIRECT("Ref_EF_Weight_Distance"&amp;"_"&amp;$C23),4,0),
$G23="Passenger Distance (e.g. Public Transport)",VLOOKUP($H23,INDIRECT("Ref_EF_Public_Transport"&amp;"_"&amp;$C23),4,0)),"")</f>
        <v/>
      </c>
      <c r="AE23" s="31" t="str" cm="1">
        <f t="array" aca="1" ref="AE23" ca="1">IFERROR(_xlfn.IFS(
OR($G23="Fuel Use",$G23="Fuel Use and Vehicle Distance"),VLOOKUP($M23,INDIRECT("Ref_EF_ByFuel"&amp;"_"&amp;$C23),5,0),
$G23="Vehicle Distance (e.g. Road Transport)",VLOOKUP($H23,INDIRECT("Ref_EF_Vehicle_Distance"&amp;"_"&amp;$C23),5,0),
$G23="Vehicle Distance (e.g. Public or Freight Transport)",VLOOKUP($H23,INDIRECT("Ref_EF_Vehicle_Distance_S3"&amp;"_"&amp;$C23),5,0),
$G23="Custom Vehicle",VLOOKUP($H23,Tbl_vehical_Settings,6,0),
$G23="Custom Fuel",VLOOKUP($M23,Tbl_Fuel_Settings,6,0),
$G23="Weight Distance (e.g. Freight Transport)",VLOOKUP($H23,INDIRECT("Ref_EF_Weight_Distance"&amp;"_"&amp;$C23),5,0),
$G23="Passenger Distance (e.g. Public Transport)",VLOOKUP($H23,INDIRECT("Ref_EF_Public_Transport"&amp;"_"&amp;$C23),5,0)),"")</f>
        <v/>
      </c>
      <c r="AF23" s="31" t="str" cm="1">
        <f t="array" aca="1" ref="AF23" ca="1">IFERROR(_xlfn.IFS(
OR($G23="Fuel Use",$G23="Fuel Use and Vehicle Distance"),VLOOKUP($M23,INDIRECT("Ref_EF_ByFuel"&amp;"_"&amp;$C23),6,0),
$G23="Vehicle Distance (e.g. Road Transport)",VLOOKUP($H23,INDIRECT("Ref_EF_Vehicle_Distance"&amp;"_"&amp;$C23),6,0),
$G23="Vehicle Distance (e.g. Public or Freight Transport)",VLOOKUP($H23,INDIRECT("Ref_EF_Vehicle_Distance_S3"&amp;"_"&amp;$C23),6,0),
$G23="Custom Vehicle",VLOOKUP($H23,Tbl_vehical_Settings,7,0),
$G23="Custom Fuel",VLOOKUP($M23,Tbl_Fuel_Settings,7,0),
$G23="Weight Distance (e.g. Freight Transport)",VLOOKUP($H23,INDIRECT("Ref_EF_Weight_Distance"&amp;"_"&amp;$C23),6,0),
$G23="Passenger Distance (e.g. Public Transport)",VLOOKUP($H23,INDIRECT("Ref_EF_Public_Transport"&amp;"_"&amp;$C23),6,0)),"")</f>
        <v/>
      </c>
      <c r="AG23" s="31" t="str" cm="1">
        <f t="array" aca="1" ref="AG23" ca="1">IFERROR(_xlfn.IFS(
AND($G23="Fuel Use",$E23&lt;&gt;"Road"),VLOOKUP($H23,INDIRECT("Ref_EF_ByFuel_CH4"&amp;"_"&amp;$C23),3,0),
$G23="Vehicle Distance (e.g. Road Transport)",VLOOKUP($H23,INDIRECT("Ref_EF_Vehicle_Distance"&amp;"_"&amp;$C23),7,0),
$G23="Vehicle Distance (e.g. Public or Freight Transport)",VLOOKUP($H23,INDIRECT("Ref_EF_Vehicle_Distance_S3"&amp;"_"&amp;$C23),7,0),
$G23="Fuel Use and Vehicle Distance",VLOOKUP($H23,INDIRECT("Ref_EF_Fuel_Vehicle_Distance"&amp;"_"&amp;$C23),3,0),
$G23="Custom Vehicle",VLOOKUP($H23,Tbl_vehical_Settings,3,0),
$G23="Custom Fuel",VLOOKUP($M23,Tbl_Fuel_Settings,3,0),
$G23="Weight Distance (e.g. Freight Transport)",VLOOKUP($H23,INDIRECT("Ref_EF_Weight_Distance_CH4"&amp;"_"&amp;$C23),3,0),
$G23="Passenger Distance (e.g. Public Transport)",VLOOKUP($H23,INDIRECT("Ref_EF_Public_Transport_CH4"&amp;"_"&amp;$C23),7,0)),"")</f>
        <v/>
      </c>
      <c r="AH23" s="31" t="str" cm="1">
        <f t="array" aca="1" ref="AH23" ca="1">IFERROR(_xlfn.IFS(
AND($G23="Fuel Use",$E23&lt;&gt;"Road"),VLOOKUP($H23,INDIRECT("Ref_EF_ByFuel_CH4"&amp;"_"&amp;$C23),4,0),
$G23="Vehicle Distance (e.g. Road Transport)",VLOOKUP($H23,INDIRECT("Ref_EF_Vehicle_Distance"&amp;"_"&amp;$C23),8,0),
$G23="Vehicle Distance (e.g. Public or Freight Transport)",VLOOKUP($H23,INDIRECT("Ref_EF_Vehicle_Distance_S3"&amp;"_"&amp;$C23),8,0),
$G23="Fuel Use and Vehicle Distance",VLOOKUP($H23,INDIRECT("Ref_EF_Fuel_Vehicle_Distance"&amp;"_"&amp;$C23),4,0),
$G23="Custom Vehicle",VLOOKUP($H23,Tbl_vehical_Settings,6,0),
$G23="Custom Fuel",VLOOKUP($M23,Tbl_Fuel_Settings,6,0),
$G23="Weight Distance (e.g. Freight Transport)",VLOOKUP($H23,INDIRECT("Ref_EF_Weight_Distance_CH4"&amp;"_"&amp;$C23),4,0),
$G23="Passenger Distance (e.g. Public Transport)",VLOOKUP($H23,INDIRECT("Ref_EF_Public_Transport_CH4"&amp;"_"&amp;$C23),8,0)),"")</f>
        <v/>
      </c>
      <c r="AI23" s="31" t="str" cm="1">
        <f t="array" aca="1" ref="AI23" ca="1">IFERROR(_xlfn.IFS(
AND($G23="Fuel Use",$E23&lt;&gt;"Road"),VLOOKUP($H23,INDIRECT("Ref_EF_ByFuel_CH4"&amp;"_"&amp;$C23),5,0),
$G23="Vehicle Distance (e.g. Road Transport)",VLOOKUP($H23,INDIRECT("Ref_EF_Vehicle_Distance"&amp;"_"&amp;$C23),9,0),
$G23="Vehicle Distance (e.g. Public or Freight Transport)",VLOOKUP($H23,INDIRECT("Ref_EF_Vehicle_Distance_S3"&amp;"_"&amp;$C23),9,0),
$G23="Fuel Use and Vehicle Distance",VLOOKUP($H23,INDIRECT("Ref_EF_Fuel_Vehicle_Distance"&amp;"_"&amp;$C23),5,0),
$G23="Custom Vehicle",VLOOKUP($H23,Tbl_vehical_Settings,7,0),
$G23="Custom Fuel",VLOOKUP($M23,Tbl_Fuel_Settings,7,0),
$G23="Weight Distance (e.g. Freight Transport)",VLOOKUP($H23,INDIRECT("Ref_EF_Weight_Distance_CH4"&amp;"_"&amp;$C23),5,0),
$G23="Passenger Distance (e.g. Public Transport)",VLOOKUP($H23,INDIRECT("Ref_EF_Public_Transport_CH4"&amp;"_"&amp;$C23),9,0)),"")</f>
        <v/>
      </c>
      <c r="AJ23" s="31" t="str" cm="1">
        <f t="array" aca="1" ref="AJ23" ca="1">IFERROR(_xlfn.IFS(
AND($G23="Fuel Use",$E23&lt;&gt;"Road"),VLOOKUP($H23,INDIRECT("Ref_EF_ByFuel_CH4"&amp;"_"&amp;$C23),6,0),
$G23="Vehicle Distance (e.g. Road Transport)",VLOOKUP($H23,INDIRECT("Ref_EF_Vehicle_Distance"&amp;"_"&amp;$C23),10,0),
$G23="Vehicle Distance (e.g. Public or Freight Transport)",VLOOKUP($H23,INDIRECT("Ref_EF_Vehicle_Distance_S3"&amp;"_"&amp;$C23),10,0),
$G23="Fuel Use and Vehicle Distance",VLOOKUP($H23,INDIRECT("Ref_EF_Fuel_Vehicle_Distance"&amp;"_"&amp;$C23),6,0),
$G23="Custom Vehicle",VLOOKUP($H23,Tbl_vehical_Settings,4,0),
$G23="Custom Fuel",VLOOKUP($M23,Tbl_Fuel_Settings,4,0),
$G23="Weight Distance (e.g. Freight Transport)",VLOOKUP($H23,INDIRECT("Ref_EF_Weight_Distance_CH4"&amp;"_"&amp;$C23),6,0),
$G23="Passenger Distance (e.g. Public Transport)",VLOOKUP($H23,INDIRECT("Ref_EF_Public_Transport_CH4"&amp;"_"&amp;$C23),10,0)),"")</f>
        <v/>
      </c>
      <c r="AK23" s="31" t="str" cm="1">
        <f t="array" aca="1" ref="AK23" ca="1">IFERROR(_xlfn.IFS(
AND($G23="Fuel Use",$E23&lt;&gt;"Road"),VLOOKUP($H23,INDIRECT("Ref_EF_ByFuel_CH4"&amp;"_"&amp;$C23),7,0),
$G23="Vehicle Distance (e.g. Road Transport)",VLOOKUP($H23,INDIRECT("Ref_EF_Vehicle_Distance"&amp;"_"&amp;$C23),11,0),
$G23="Vehicle Distance (e.g. Public or Freight Transport)",VLOOKUP($H23,INDIRECT("Ref_EF_Vehicle_Distance_S3"&amp;"_"&amp;$C23),11,0),
$G23="Fuel Use and Vehicle Distance",VLOOKUP($H23,INDIRECT("Ref_EF_Fuel_Vehicle_Distance"&amp;"_"&amp;$C23),7,0),
$G23="Custom Vehicle",VLOOKUP($H23,Tbl_vehical_Settings,6,0),
$G23="Custom Fuel",VLOOKUP($M23,Tbl_Fuel_Settings,6,0),
$G23="Weight Distance (e.g. Freight Transport)",VLOOKUP($H23,INDIRECT("Ref_EF_Weight_Distance_CH4"&amp;"_"&amp;$C23),7,0),
$G23="Passenger Distance (e.g. Public Transport)",VLOOKUP($H23,INDIRECT("Ref_EF_Public_Transport_CH4"&amp;"_"&amp;$C23),11,0)),"")</f>
        <v/>
      </c>
      <c r="AL23" s="31" t="str" cm="1">
        <f t="array" aca="1" ref="AL23" ca="1">IFERROR(_xlfn.IFS(
AND($G23="Fuel Use",$E23&lt;&gt;"Road"),VLOOKUP($H23,INDIRECT("Ref_EF_ByFuel_CH4"&amp;"_"&amp;$C23),8,0),
$G23="Vehicle Distance (e.g. Road Transport)",VLOOKUP($H23,INDIRECT("Ref_EF_Vehicle_Distance"&amp;"_"&amp;$C23),12,0),
$G23="Vehicle Distance (e.g. Public or Freight Transport)",VLOOKUP($H23,INDIRECT("Ref_EF_Vehicle_Distance_S3"&amp;"_"&amp;$C23),12,0),
$G23="Fuel Use and Vehicle Distance",VLOOKUP($H23,INDIRECT("Ref_EF_Fuel_Vehicle_Distance"&amp;"_"&amp;$C23),8,0),
$G23="Custom Vehicle",VLOOKUP($H23,Tbl_vehical_Settings,7,0),
$G23="Custom Fuel",VLOOKUP($M23,Tbl_Fuel_Settings,7,0),
$G23="Weight Distance (e.g. Freight Transport)",VLOOKUP($H23,INDIRECT("Ref_EF_Weight_Distance_CH4"&amp;"_"&amp;$C23),8,0),
$G23="Passenger Distance (e.g. Public Transport)",VLOOKUP($H23,INDIRECT("Ref_EF_Public_Transport_CH4"&amp;"_"&amp;$C23),12,0)),"")</f>
        <v/>
      </c>
      <c r="AM23" s="31" t="e">
        <f ca="1">INDEX(Ref_Master_Unit_Table,MATCH($AB23,REF_To_Unit,0),MATCH('Reference - Lookup and Unit'!$A$11,Ref_From_Units,0))</f>
        <v>#N/A</v>
      </c>
      <c r="AN23" s="31" t="e">
        <f t="shared" ca="1" si="0"/>
        <v>#N/A</v>
      </c>
      <c r="AO23" s="31" t="e">
        <f ca="1">INDEX(Ref_Master_Unit_Table,MATCH($AE23,REF_To_Unit,0),MATCH('Reference - Lookup and Unit'!$A$11,Ref_From_Units,0))</f>
        <v>#N/A</v>
      </c>
      <c r="AP23" s="31" t="e">
        <f t="shared" ca="1" si="59"/>
        <v>#N/A</v>
      </c>
      <c r="AQ23" s="31" t="e">
        <f ca="1">INDEX(Ref_Master_Unit_Table,MATCH($AH23,REF_To_Unit,0),MATCH('Reference - Lookup and Unit'!$A$11,Ref_From_Units,0))</f>
        <v>#N/A</v>
      </c>
      <c r="AR23" s="31" t="e">
        <f t="shared" ca="1" si="60"/>
        <v>#N/A</v>
      </c>
      <c r="AS23" s="31" t="e">
        <f ca="1">INDEX(Ref_Master_Unit_Table,MATCH($AK23,REF_To_Unit,0),MATCH('Reference - Lookup and Unit'!$A$11,Ref_From_Units,0))</f>
        <v>#N/A</v>
      </c>
      <c r="AT23" s="31" t="e">
        <f t="shared" ca="1" si="61"/>
        <v>#N/A</v>
      </c>
      <c r="AU23" s="31" t="e" cm="1">
        <f t="array" aca="1" ref="AU23"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23" s="31">
        <f t="shared" ca="1" si="48"/>
        <v>27.9</v>
      </c>
      <c r="AW23" s="31">
        <f t="shared" ca="1" si="49"/>
        <v>273</v>
      </c>
      <c r="AX23" s="31" t="e" cm="1">
        <f t="array" aca="1" ref="AX23"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23" s="25" t="e" cm="1">
        <f t="array" ref="AY23">_xlfn.IFS(
AND($E23&lt;&gt;"",$G23="Custom Fuel"),("Settings_Custom_Fuels"),
AND($E23&lt;&gt;"",$G23="Custom vehicle"),("Settings_Custom_Vehicle"),
AND($E23&lt;&gt;"",$G23="Fuel Use"),("Ref_DD_vehicle_FuelUse"&amp;"_"&amp;C23&amp;"_"&amp;E23),
AND($E23&lt;&gt;"",$G23="Fuel Use and Vehicle Distance"),("Ref_DD_Fuel_VehicleDistance"&amp;"_"&amp;C23&amp;"_"&amp;E23),
AND($E23&lt;&gt;"",$G23="Vehicle Distance (e.g. Road Transport)"),("Ref_DD_vehicle_VehicleDistance"&amp;"_"&amp;C23&amp;"_"&amp;E23),
AND($E23&lt;&gt;"",$G23="Weight Distance (e.g. Freight Transport)"),("Ref_DD_vehicle_WeightDistance"&amp;"_"&amp;C23&amp;"_"&amp;E23),
AND($E23&lt;&gt;"",$G23="Vehicle Distance (e.g. Public or Freight Transport)"),("Ref_DD_vehicle_DistanceS3"&amp;"_"&amp;C23),
AND($E23&lt;&gt;"",$G23="Passenger Distance (e.g. Public Transport)"),("Ref_DD_vehicle_Passenger"&amp;"_"&amp;C23&amp;"_"&amp;E23),
AND($E23="",$G23="Fuel Use"),("Ref_DD_vehicle_FuelUse"&amp;"_"&amp;C23),
AND($E23="",OR($G23="Vehicle Distance (e.g. Road Transport)",$G23="Fuel Use and Vehicle Distance")),("Ref_DD_vehicle_VehicleDistance"&amp;"_"&amp;C23),
AND($E23="",$G23="Weight Distance (e.g. Freight Transport)"),("Ref_DD_vehicle_WeightDistance"&amp;"_"&amp;C23),
AND($E23="",$G23="Vehicle Distance (e.g. Public or Freight Transport)"),("Ref_DD_vehicle_DistanceS3"&amp;"_"&amp;C23),
AND($E23="",$G23="Passenger Distance (e.g. Public Transport)"),("Ref_DD_vehicle_Passenger"&amp;"_"&amp;C23))</f>
        <v>#N/A</v>
      </c>
      <c r="AZ23" s="25" t="b">
        <f t="shared" ca="1" si="4"/>
        <v>0</v>
      </c>
      <c r="BA23" s="25" t="str">
        <f t="shared" si="5"/>
        <v/>
      </c>
      <c r="BB23" s="25" t="str">
        <f t="shared" si="6"/>
        <v/>
      </c>
      <c r="BC23" s="25" t="str">
        <f t="shared" si="50"/>
        <v/>
      </c>
      <c r="BD23" s="25" t="str">
        <f t="shared" si="51"/>
        <v/>
      </c>
      <c r="BE23" s="25" t="str">
        <f t="shared" si="52"/>
        <v/>
      </c>
      <c r="BF23" s="25" t="str">
        <f t="shared" si="53"/>
        <v/>
      </c>
      <c r="BG23" s="25" t="str">
        <f t="shared" si="7"/>
        <v/>
      </c>
      <c r="BH23" s="25" t="str">
        <f t="shared" si="8"/>
        <v/>
      </c>
      <c r="BI23" s="25" t="str">
        <f t="shared" si="54"/>
        <v/>
      </c>
      <c r="BJ23" s="25" t="str">
        <f t="shared" si="55"/>
        <v/>
      </c>
      <c r="BK23" s="25" t="str">
        <f t="shared" si="56"/>
        <v/>
      </c>
      <c r="BL23" s="25" t="str">
        <f t="shared" si="57"/>
        <v/>
      </c>
      <c r="BM23" s="25" t="str">
        <f t="shared" si="9"/>
        <v/>
      </c>
      <c r="BN23" s="25" t="str">
        <f t="shared" ca="1" si="10"/>
        <v/>
      </c>
      <c r="BO23" s="25" t="str">
        <f t="shared" si="11"/>
        <v/>
      </c>
      <c r="BP23" s="25" t="str">
        <f t="shared" si="12"/>
        <v/>
      </c>
      <c r="BQ23" s="25" t="str">
        <f t="shared" si="13"/>
        <v/>
      </c>
      <c r="BR23" s="25" t="str">
        <f t="shared" si="14"/>
        <v/>
      </c>
      <c r="BS23" s="25" t="str">
        <f t="shared" si="15"/>
        <v/>
      </c>
      <c r="BT23" s="25" t="str">
        <f t="shared" si="16"/>
        <v/>
      </c>
      <c r="BU23" s="25" t="str">
        <f t="shared" si="17"/>
        <v/>
      </c>
      <c r="BV23" s="25" t="str">
        <f t="shared" si="18"/>
        <v/>
      </c>
      <c r="BW23" s="25" t="str">
        <f t="shared" si="19"/>
        <v/>
      </c>
      <c r="BX23" s="25" t="str">
        <f t="shared" si="20"/>
        <v/>
      </c>
      <c r="BY23" s="25" t="str">
        <f t="shared" si="21"/>
        <v/>
      </c>
      <c r="BZ23" s="25" t="str">
        <f t="shared" si="22"/>
        <v/>
      </c>
      <c r="CA23" s="25" t="str">
        <f t="shared" si="23"/>
        <v/>
      </c>
      <c r="CB23" s="25" t="str">
        <f t="shared" si="24"/>
        <v/>
      </c>
      <c r="CC23" s="25" t="str">
        <f t="shared" si="25"/>
        <v/>
      </c>
      <c r="CD23" s="25" t="str">
        <f t="shared" si="26"/>
        <v/>
      </c>
      <c r="CE23" s="25" t="str">
        <f t="shared" si="27"/>
        <v/>
      </c>
      <c r="CF23" s="25" t="str">
        <f t="shared" si="28"/>
        <v/>
      </c>
      <c r="CG23" s="25" t="str">
        <f t="shared" si="29"/>
        <v/>
      </c>
      <c r="CH23" s="25" t="str">
        <f t="shared" si="30"/>
        <v/>
      </c>
      <c r="CI23" s="25" t="str">
        <f t="shared" si="31"/>
        <v/>
      </c>
      <c r="CJ23" s="25" t="str">
        <f t="shared" si="32"/>
        <v/>
      </c>
      <c r="CK23" s="25" t="str">
        <f t="shared" si="33"/>
        <v/>
      </c>
      <c r="CL23" s="25" t="str">
        <f t="shared" si="34"/>
        <v/>
      </c>
      <c r="CM23" s="25" t="str">
        <f t="shared" si="35"/>
        <v/>
      </c>
      <c r="CN23" s="25" t="str">
        <f t="shared" si="36"/>
        <v/>
      </c>
      <c r="CO23" s="25" t="str">
        <f t="shared" si="37"/>
        <v/>
      </c>
      <c r="CP23" s="25" t="str">
        <f t="shared" si="38"/>
        <v/>
      </c>
      <c r="CQ23" s="25" t="str">
        <f t="shared" si="39"/>
        <v/>
      </c>
      <c r="CR23" s="25" t="str">
        <f t="shared" si="40"/>
        <v/>
      </c>
      <c r="CS23" s="25" t="str">
        <f t="shared" si="41"/>
        <v/>
      </c>
      <c r="CT23" s="25" t="str">
        <f t="shared" si="42"/>
        <v/>
      </c>
      <c r="CU23" s="25" t="str">
        <f t="shared" si="43"/>
        <v/>
      </c>
      <c r="CV23" s="25" t="str">
        <f t="shared" si="44"/>
        <v/>
      </c>
      <c r="CW23" s="25" t="str">
        <f t="shared" si="45"/>
        <v/>
      </c>
      <c r="CX23" s="25" t="str" cm="1">
        <f t="array" ref="CX23">_xlfn.IFNA(_xlfn.IFS(
$G23="Weight Distance (e.g. Freight Transport)","Ref_DD_WeightDistanceUnits",
$G23="Passenger Distance (e.g. Public Transport)","Ref_DD_PasengerDistanceUnits",
$G23="Vehicle Distance (e.g. Road Transport)", "Ref_DD_DistanceUnit",
$G23="Vehicle Distance (e.g. Public or Freight Transport)","Ref_DD_DistanceUnit",
$G23="Fuel Use and Vehicle Distance", "Ref_DD_DistanceUnit",
$G23="Custom Vehicle",VLOOKUP($H23,'2. Settings'!$B$39:$I$54,8,FALSE)),"")</f>
        <v/>
      </c>
      <c r="CY23" s="27" t="str">
        <f ca="1">IF(AND(ISERROR(#REF!*$AU23)=TRUE,ISERROR((S23/1000)*$AV23)=TRUE,ISERROR((T23/1000)*$AW23)=FALSE),((T23/1000)*$AW23),"")</f>
        <v/>
      </c>
      <c r="CZ23" s="27" cm="1">
        <f t="array" ref="CZ23">IFERROR(_xlfn.IFS(
AND($G23="Custom vehicle",OR($J23="Passenger Mile",$J23="Passenger Kilometer")),"Passenger Distance (e.g. Public Transport)",
AND($G23="Custom vehicle",OR($J23="Tonne Mile",$J23="Tonne Kilometer",$J23="Short Ton Kilometer",$J23="Short Ton Mile")),"Weight Distance (e.g. Freight Transport)",
AND($G23="Custom vehicle",OR($J23="Mile",$J23="Kilometer")),"Vehicle Distance (e.g. Road Transport)",
$G23&lt;&gt;"Custom vehicle",$G23),"")</f>
        <v>0</v>
      </c>
      <c r="DA23" s="27" t="str" cm="1">
        <f t="array" ref="DA23">IFERROR(_xlfn.IFS(OR(J23="Tonne Kilometer",J23="Tonne Mile",J23="Short Ton Mile",J23="Short Ton Kilometer"),I23*K23,OR(J23="Passenger Kilometer",J23="Passenger Mile"),I23*L23,OR(J23="Kilometer",J23="Mile"),$I23),"")</f>
        <v/>
      </c>
    </row>
    <row r="24" spans="2:105" x14ac:dyDescent="0.25">
      <c r="B24" s="244"/>
      <c r="C24" s="71" t="str" cm="1">
        <f t="array" ref="C24">IFERROR(_xlfn.IFS($D24="Other", D24&amp;"_" &amp;Ref_Other_to,OR($D24="UK", $D24="US"),$D24),"")</f>
        <v/>
      </c>
      <c r="D24" s="71"/>
      <c r="E24" s="71"/>
      <c r="F24" s="71"/>
      <c r="G24" s="72"/>
      <c r="H24" s="72"/>
      <c r="I24" s="73"/>
      <c r="J24" s="73"/>
      <c r="K24" s="73"/>
      <c r="L24" s="73"/>
      <c r="M24" s="74"/>
      <c r="N24" s="75"/>
      <c r="O24" s="71"/>
      <c r="P24" s="165" t="str">
        <f t="shared" si="58"/>
        <v/>
      </c>
      <c r="Q24" s="166" t="str">
        <f t="shared" si="46"/>
        <v/>
      </c>
      <c r="R24" s="76" t="str" cm="1">
        <f t="array" aca="1" ref="R24" ca="1">IFERROR(_xlfn.IFS(
AND(AA24&gt;0, OR($G24="Fuel Use",$G24="Custom Fuel")),$N24*$AA24*$AM24*$AN24,
AND(AA24&gt;0,$CZ24="Vehicle Distance (e.g. Road Transport)"),$I24*$AA24*$AM24*$AN24,
AND(AA24&gt;0,$CZ24="Vehicle Distance (e.g. Public or Freight Transport)"),$I24*$AA24*$AM24*$AN24,
AND(AA24&gt;0,$CZ24="Fuel Use and Vehicle Distance"),$N24*$AA24*$AM24*$AN24,
AND(AA24&gt;0,$CZ24="Passenger Distance (e.g. Public Transport)"),$DA24*$AA24*$AM24*$AN24,
AND(AA24&gt;0,$CZ24="Weight Distance (e.g. Freight Transport)"),$DA24*$AA24*$AM24*$AN24),"")</f>
        <v/>
      </c>
      <c r="S24" s="77" t="str" cm="1">
        <f t="array" aca="1" ref="S24" ca="1">IFERROR(_xlfn.IFS(
AND(AG24&gt;-1, $G24="Fuel Use and Vehicle Distance"),$I24*$AG24*$AQ24*$AR24,
AND(AG24&gt;-1, $G24="Vehicle Distance (e.g. Road Transport)"),$I24*$AG24*$AQ24*$AR24,
AND(AG24&gt;-1, $CZ24="Vehicle Distance (e.g. Public or Freight Transport)"),$I24*$AG24*$AQ24*$AR24,
AND(AG24&gt;-1, OR($G24="Fuel Use",$G24="Custom Fuel")), $N24*$AG24*$AQ24*$AR24*1000,
AND(AG24&gt;-1, $G24="Custom Vehicle"),$DA24*$AG24*$AQ24*$AR24*1000,
AND(AG24&gt;-1, AND($G24&lt;&gt;"Custom Vehicle",$CZ24="Weight Distance (e.g. Freight Transport)")),$DA24*$AG24*$AQ24*$AR24*1000,
AND(AG24&gt;-1, AND($G24&lt;&gt;"Custom Vehicle",$CZ24="Passenger Distance (e.g. Public Transport)")), $DA24*$AG24*$AQ24*$AR24*1000),"")</f>
        <v/>
      </c>
      <c r="T24" s="77" t="str" cm="1">
        <f t="array" aca="1" ref="T24" ca="1">IFERROR(_xlfn.IFS(
AND(AJ24&gt;0,$G24="Fuel Use and Vehicle Distance"),$I24*$AJ24*$AS24*$AT24,
AND(AJ24&gt;0,$G24="Vehicle Distance (e.g. Road Transport)"),$I24*$AJ24*$AS24*$AT24,
AND(AJ24&gt;0,$G24="Vehicle Distance (e.g. Public or Freight Transport)"),$I24*$AJ24*$AS24*$AT24,
AND(AJ24&gt;0,OR($G24="Fuel Use",$G24="Custom Fuel")), $N24*$AJ24*$AS24*$AT24*1000,
AND(AJ24&gt;0,$G24="Custom Vehicle"),$DA24*$AJ24*$AS24*$AT24*1000,
AND(AJ24&gt;0,AND($G24&lt;&gt;"Custom Vehicle",$CZ24="Weight Distance (e.g. Freight Transport)")),$DA24*$AJ24*$AS24*$AT24*1000,
AND(AJ24&gt;0,AND($G24&lt;&gt;"Custom Vehicle",$CZ24="Passenger Distance (e.g. Public Transport)")), $DA24*$AJ24*$AS24*$AT24*1000),"")</f>
        <v/>
      </c>
      <c r="U24" s="78" t="str">
        <f t="shared" ca="1" si="47"/>
        <v/>
      </c>
      <c r="V24" s="161" t="str" cm="1">
        <f t="array" aca="1" ref="V24" ca="1">IFERROR(_xlfn.IFS(
AND(AD24&gt;0,OR($CZ24="Fuel Use",$CZ24="Custom Fuel",$CZ24="Fuel Use and Vehicle Distance")),($N24*$AD24*$AO24*$AP24),
AND(AD24&gt;0,$G24="Custom Vehicle"),$DA24*$AD24*$AO24*$AP24,
AND(AD24&gt;0,$CZ24="Vehicle Distance (e.g. Public or Freight Transport)"),$I24*$AD24*$AM24*$AN24,
AND(AD24&gt;0,$CZ24="Weight Distance (e.g. Freight Transport)"),($I24*$K24*$AD24*$AO24*$AP24),
AND(AD24&gt;0,$CZ24="Passenger Distance (e.g. Public Transport)"),$I24*$L24*$AD24*$AO24*$AP24,
AND(AD24&gt;0,$CZ24="Vehicle Distance (e.g. Road Transport)"),($I24*$AD24*$AO24*$AP24)),"")</f>
        <v/>
      </c>
      <c r="W24" s="164" t="str" cm="1">
        <f t="array" aca="1" ref="W24" ca="1">IFERROR(_xlfn.IFS(AND(ISNUMBER(R24),AA24=0),AA24&amp;" "&amp;"("&amp;AB24&amp;" CO2/"&amp;AC24&amp;")",AND(ISNUMBER(R24),AA24&gt;0),ROUND(AA24,INT(3-LOG(AA24)))&amp;" "&amp;"("&amp;AB24&amp;" CO2/"&amp;AC24&amp;")"),"")</f>
        <v/>
      </c>
      <c r="X24" s="164" t="str" cm="1">
        <f t="array" aca="1" ref="X24" ca="1">IFERROR(_xlfn.IFS(AND(ISNUMBER(S24), AG24=0),AG24&amp;" "&amp;"("&amp;AH24&amp;" CH4/"&amp;AI24&amp;")",AND(ISNUMBER(S24), AG24&gt;0),ROUND(AG24,INT(3-LOG(AG24)))&amp;" "&amp;"("&amp;AH24&amp;" CH4/"&amp;AI24&amp;")"),"")</f>
        <v/>
      </c>
      <c r="Y24" s="164" t="str" cm="1">
        <f t="array" aca="1" ref="Y24" ca="1">IFERROR(_xlfn.IFS(AND(ISNUMBER(T24), AJ24=0),AJ24&amp;" "&amp;"("&amp;AK24&amp;" CH4/"&amp;AL24&amp;")",AND(ISNUMBER(T24), AJ24&gt;0),ROUND(AJ24,INT(3-LOG(AJ24)))&amp;" "&amp;"("&amp;AK24&amp;" N2O/"&amp;AL24&amp;")"),"")</f>
        <v/>
      </c>
      <c r="Z24" s="245" t="str" cm="1">
        <f t="array" aca="1" ref="Z24" ca="1">IFERROR(_xlfn.IFS(AND(ISNUMBER(V24),AD24=0),AD24&amp;" "&amp;"("&amp;AE24&amp;" CO2/"&amp;AF24&amp;")",AND(ISNUMBER(V24),AD24&gt;0),ROUND(AD24,INT(3-LOG(AD24)))&amp;" "&amp;"("&amp;AE24&amp;" CO2/"&amp;AF24&amp;")"),"")</f>
        <v/>
      </c>
      <c r="AA24" s="240" t="str" cm="1">
        <f t="array" aca="1" ref="AA24" ca="1">IFERROR(_xlfn.IFS(
OR($G24="Fuel Use",$G24="Fuel Use and Vehicle Distance"),VLOOKUP($M24,INDIRECT("Ref_EF_ByFuel"&amp;"_"&amp;$C24),3,0),
$G24="Vehicle Distance (e.g. Road Transport)",VLOOKUP($H24,INDIRECT("Ref_EF_Vehicle_Distance"&amp;"_"&amp;$C24),3,0),
$G24="Vehicle Distance (e.g. Public or Freight Transport)",VLOOKUP($H24,INDIRECT("Ref_EF_Vehicle_Distance_S3"&amp;"_"&amp;$C24),3,0),
$G24="Custom Vehicle",VLOOKUP($H24,Tbl_vehical_Settings,2,0),
$G24="Custom Fuel",VLOOKUP($M24,Tbl_Fuel_Settings,2,0),
$G24="Weight Distance (e.g. Freight Transport)",VLOOKUP($H24,INDIRECT("Ref_EF_Weight_Distance"&amp;"_"&amp;$C24),3,0),
$G24="Passenger Distance (e.g. Public Transport)",VLOOKUP($H24,INDIRECT("Ref_EF_Public_Transport"&amp;"_"&amp;$C24),3,0)),"")</f>
        <v/>
      </c>
      <c r="AB24" s="31" t="str" cm="1">
        <f t="array" aca="1" ref="AB24" ca="1">IFERROR(_xlfn.IFS(
OR($G24="Fuel Use",$G24="Fuel Use and Vehicle Distance"),VLOOKUP($M24,INDIRECT("Ref_EF_ByFuel"&amp;"_"&amp;$C24),5,0),
$G24="Vehicle Distance (e.g. Road Transport)",VLOOKUP($H24,INDIRECT("Ref_EF_Vehicle_Distance"&amp;"_"&amp;$C24),5,0),
$G24="Vehicle Distance (e.g. Public or Freight Transport)",VLOOKUP($H24,INDIRECT("Ref_EF_Vehicle_Distance_S3"&amp;"_"&amp;$C24),5,0),
$G24="Custom Vehicle",VLOOKUP($H24,Tbl_vehical_Settings,6,0),
$G24="Custom Fuel",VLOOKUP($M24,Tbl_Fuel_Settings,6,0),
$G24="Weight Distance (e.g. Freight Transport)",VLOOKUP($H24,INDIRECT("Ref_EF_Weight_Distance"&amp;"_"&amp;$C24),5,0),
$G24="Passenger Distance (e.g. Public Transport)",VLOOKUP($H24,INDIRECT("Ref_EF_Public_Transport"&amp;"_"&amp;$C24),5,0)),"")</f>
        <v/>
      </c>
      <c r="AC24" s="31" t="str" cm="1">
        <f t="array" aca="1" ref="AC24" ca="1">IFERROR(_xlfn.IFS(
OR($G24="Fuel Use",$G24="Fuel Use and Vehicle Distance"),VLOOKUP($M24,INDIRECT("Ref_EF_ByFuel"&amp;"_"&amp;$C24),6,0),
$G24="Vehicle Distance (e.g. Road Transport)",VLOOKUP($H24,INDIRECT("Ref_EF_Vehicle_Distance"&amp;"_"&amp;$C24),6,0),
$G24="Vehicle Distance (e.g. Public or Freight Transport)",VLOOKUP($H24,INDIRECT("Ref_EF_Vehicle_Distance_S3"&amp;"_"&amp;$C24),6,0),
$G24="Custom Vehicle",VLOOKUP($H24,Tbl_vehical_Settings,7,0),
$G24="Custom Fuel",VLOOKUP($M24,Tbl_Fuel_Settings,7,0),
$G24="Weight Distance (e.g. Freight Transport)",VLOOKUP($H24,INDIRECT("Ref_EF_Weight_Distance"&amp;"_"&amp;$C24),6,0),
$G24="Passenger Distance (e.g. Public Transport)",VLOOKUP($H24,INDIRECT("Ref_EF_Public_Transport"&amp;"_"&amp;$C24),6,0)),"")</f>
        <v/>
      </c>
      <c r="AD24" s="31" t="str" cm="1">
        <f t="array" aca="1" ref="AD24" ca="1">IFERROR(_xlfn.IFS(
OR($G24="Fuel Use",$G24="Fuel Use and Vehicle Distance"),VLOOKUP($M24,INDIRECT("Ref_EF_ByFuel"&amp;"_"&amp;$C24),4,0),
$G24="Vehicle Distance (e.g. Road Transport)",VLOOKUP($H24,INDIRECT("Ref_EF_Vehicle_Distance"&amp;"_"&amp;$C24),4,0),
$G24="Vehicle Distance (e.g. Public or Freight Transport)",VLOOKUP($H24,INDIRECT("Ref_EF_Vehicle_Distance_S3"&amp;"_"&amp;$C24),4,0),
$G24="Custom Vehicle",VLOOKUP($H24,Tbl_vehical_Settings,5,0),
$G24="Custom Fuel",VLOOKUP($M24,Tbl_Fuel_Settings,5,0),
$G24="Weight Distance (e.g. Freight Transport)",VLOOKUP($H24,INDIRECT("Ref_EF_Weight_Distance"&amp;"_"&amp;$C24),4,0),
$G24="Passenger Distance (e.g. Public Transport)",VLOOKUP($H24,INDIRECT("Ref_EF_Public_Transport"&amp;"_"&amp;$C24),4,0)),"")</f>
        <v/>
      </c>
      <c r="AE24" s="31" t="str" cm="1">
        <f t="array" aca="1" ref="AE24" ca="1">IFERROR(_xlfn.IFS(
OR($G24="Fuel Use",$G24="Fuel Use and Vehicle Distance"),VLOOKUP($M24,INDIRECT("Ref_EF_ByFuel"&amp;"_"&amp;$C24),5,0),
$G24="Vehicle Distance (e.g. Road Transport)",VLOOKUP($H24,INDIRECT("Ref_EF_Vehicle_Distance"&amp;"_"&amp;$C24),5,0),
$G24="Vehicle Distance (e.g. Public or Freight Transport)",VLOOKUP($H24,INDIRECT("Ref_EF_Vehicle_Distance_S3"&amp;"_"&amp;$C24),5,0),
$G24="Custom Vehicle",VLOOKUP($H24,Tbl_vehical_Settings,6,0),
$G24="Custom Fuel",VLOOKUP($M24,Tbl_Fuel_Settings,6,0),
$G24="Weight Distance (e.g. Freight Transport)",VLOOKUP($H24,INDIRECT("Ref_EF_Weight_Distance"&amp;"_"&amp;$C24),5,0),
$G24="Passenger Distance (e.g. Public Transport)",VLOOKUP($H24,INDIRECT("Ref_EF_Public_Transport"&amp;"_"&amp;$C24),5,0)),"")</f>
        <v/>
      </c>
      <c r="AF24" s="31" t="str" cm="1">
        <f t="array" aca="1" ref="AF24" ca="1">IFERROR(_xlfn.IFS(
OR($G24="Fuel Use",$G24="Fuel Use and Vehicle Distance"),VLOOKUP($M24,INDIRECT("Ref_EF_ByFuel"&amp;"_"&amp;$C24),6,0),
$G24="Vehicle Distance (e.g. Road Transport)",VLOOKUP($H24,INDIRECT("Ref_EF_Vehicle_Distance"&amp;"_"&amp;$C24),6,0),
$G24="Vehicle Distance (e.g. Public or Freight Transport)",VLOOKUP($H24,INDIRECT("Ref_EF_Vehicle_Distance_S3"&amp;"_"&amp;$C24),6,0),
$G24="Custom Vehicle",VLOOKUP($H24,Tbl_vehical_Settings,7,0),
$G24="Custom Fuel",VLOOKUP($M24,Tbl_Fuel_Settings,7,0),
$G24="Weight Distance (e.g. Freight Transport)",VLOOKUP($H24,INDIRECT("Ref_EF_Weight_Distance"&amp;"_"&amp;$C24),6,0),
$G24="Passenger Distance (e.g. Public Transport)",VLOOKUP($H24,INDIRECT("Ref_EF_Public_Transport"&amp;"_"&amp;$C24),6,0)),"")</f>
        <v/>
      </c>
      <c r="AG24" s="31" t="str" cm="1">
        <f t="array" aca="1" ref="AG24" ca="1">IFERROR(_xlfn.IFS(
AND($G24="Fuel Use",$E24&lt;&gt;"Road"),VLOOKUP($H24,INDIRECT("Ref_EF_ByFuel_CH4"&amp;"_"&amp;$C24),3,0),
$G24="Vehicle Distance (e.g. Road Transport)",VLOOKUP($H24,INDIRECT("Ref_EF_Vehicle_Distance"&amp;"_"&amp;$C24),7,0),
$G24="Vehicle Distance (e.g. Public or Freight Transport)",VLOOKUP($H24,INDIRECT("Ref_EF_Vehicle_Distance_S3"&amp;"_"&amp;$C24),7,0),
$G24="Fuel Use and Vehicle Distance",VLOOKUP($H24,INDIRECT("Ref_EF_Fuel_Vehicle_Distance"&amp;"_"&amp;$C24),3,0),
$G24="Custom Vehicle",VLOOKUP($H24,Tbl_vehical_Settings,3,0),
$G24="Custom Fuel",VLOOKUP($M24,Tbl_Fuel_Settings,3,0),
$G24="Weight Distance (e.g. Freight Transport)",VLOOKUP($H24,INDIRECT("Ref_EF_Weight_Distance_CH4"&amp;"_"&amp;$C24),3,0),
$G24="Passenger Distance (e.g. Public Transport)",VLOOKUP($H24,INDIRECT("Ref_EF_Public_Transport_CH4"&amp;"_"&amp;$C24),7,0)),"")</f>
        <v/>
      </c>
      <c r="AH24" s="31" t="str" cm="1">
        <f t="array" aca="1" ref="AH24" ca="1">IFERROR(_xlfn.IFS(
AND($G24="Fuel Use",$E24&lt;&gt;"Road"),VLOOKUP($H24,INDIRECT("Ref_EF_ByFuel_CH4"&amp;"_"&amp;$C24),4,0),
$G24="Vehicle Distance (e.g. Road Transport)",VLOOKUP($H24,INDIRECT("Ref_EF_Vehicle_Distance"&amp;"_"&amp;$C24),8,0),
$G24="Vehicle Distance (e.g. Public or Freight Transport)",VLOOKUP($H24,INDIRECT("Ref_EF_Vehicle_Distance_S3"&amp;"_"&amp;$C24),8,0),
$G24="Fuel Use and Vehicle Distance",VLOOKUP($H24,INDIRECT("Ref_EF_Fuel_Vehicle_Distance"&amp;"_"&amp;$C24),4,0),
$G24="Custom Vehicle",VLOOKUP($H24,Tbl_vehical_Settings,6,0),
$G24="Custom Fuel",VLOOKUP($M24,Tbl_Fuel_Settings,6,0),
$G24="Weight Distance (e.g. Freight Transport)",VLOOKUP($H24,INDIRECT("Ref_EF_Weight_Distance_CH4"&amp;"_"&amp;$C24),4,0),
$G24="Passenger Distance (e.g. Public Transport)",VLOOKUP($H24,INDIRECT("Ref_EF_Public_Transport_CH4"&amp;"_"&amp;$C24),8,0)),"")</f>
        <v/>
      </c>
      <c r="AI24" s="31" t="str" cm="1">
        <f t="array" aca="1" ref="AI24" ca="1">IFERROR(_xlfn.IFS(
AND($G24="Fuel Use",$E24&lt;&gt;"Road"),VLOOKUP($H24,INDIRECT("Ref_EF_ByFuel_CH4"&amp;"_"&amp;$C24),5,0),
$G24="Vehicle Distance (e.g. Road Transport)",VLOOKUP($H24,INDIRECT("Ref_EF_Vehicle_Distance"&amp;"_"&amp;$C24),9,0),
$G24="Vehicle Distance (e.g. Public or Freight Transport)",VLOOKUP($H24,INDIRECT("Ref_EF_Vehicle_Distance_S3"&amp;"_"&amp;$C24),9,0),
$G24="Fuel Use and Vehicle Distance",VLOOKUP($H24,INDIRECT("Ref_EF_Fuel_Vehicle_Distance"&amp;"_"&amp;$C24),5,0),
$G24="Custom Vehicle",VLOOKUP($H24,Tbl_vehical_Settings,7,0),
$G24="Custom Fuel",VLOOKUP($M24,Tbl_Fuel_Settings,7,0),
$G24="Weight Distance (e.g. Freight Transport)",VLOOKUP($H24,INDIRECT("Ref_EF_Weight_Distance_CH4"&amp;"_"&amp;$C24),5,0),
$G24="Passenger Distance (e.g. Public Transport)",VLOOKUP($H24,INDIRECT("Ref_EF_Public_Transport_CH4"&amp;"_"&amp;$C24),9,0)),"")</f>
        <v/>
      </c>
      <c r="AJ24" s="31" t="str" cm="1">
        <f t="array" aca="1" ref="AJ24" ca="1">IFERROR(_xlfn.IFS(
AND($G24="Fuel Use",$E24&lt;&gt;"Road"),VLOOKUP($H24,INDIRECT("Ref_EF_ByFuel_CH4"&amp;"_"&amp;$C24),6,0),
$G24="Vehicle Distance (e.g. Road Transport)",VLOOKUP($H24,INDIRECT("Ref_EF_Vehicle_Distance"&amp;"_"&amp;$C24),10,0),
$G24="Vehicle Distance (e.g. Public or Freight Transport)",VLOOKUP($H24,INDIRECT("Ref_EF_Vehicle_Distance_S3"&amp;"_"&amp;$C24),10,0),
$G24="Fuel Use and Vehicle Distance",VLOOKUP($H24,INDIRECT("Ref_EF_Fuel_Vehicle_Distance"&amp;"_"&amp;$C24),6,0),
$G24="Custom Vehicle",VLOOKUP($H24,Tbl_vehical_Settings,4,0),
$G24="Custom Fuel",VLOOKUP($M24,Tbl_Fuel_Settings,4,0),
$G24="Weight Distance (e.g. Freight Transport)",VLOOKUP($H24,INDIRECT("Ref_EF_Weight_Distance_CH4"&amp;"_"&amp;$C24),6,0),
$G24="Passenger Distance (e.g. Public Transport)",VLOOKUP($H24,INDIRECT("Ref_EF_Public_Transport_CH4"&amp;"_"&amp;$C24),10,0)),"")</f>
        <v/>
      </c>
      <c r="AK24" s="31" t="str" cm="1">
        <f t="array" aca="1" ref="AK24" ca="1">IFERROR(_xlfn.IFS(
AND($G24="Fuel Use",$E24&lt;&gt;"Road"),VLOOKUP($H24,INDIRECT("Ref_EF_ByFuel_CH4"&amp;"_"&amp;$C24),7,0),
$G24="Vehicle Distance (e.g. Road Transport)",VLOOKUP($H24,INDIRECT("Ref_EF_Vehicle_Distance"&amp;"_"&amp;$C24),11,0),
$G24="Vehicle Distance (e.g. Public or Freight Transport)",VLOOKUP($H24,INDIRECT("Ref_EF_Vehicle_Distance_S3"&amp;"_"&amp;$C24),11,0),
$G24="Fuel Use and Vehicle Distance",VLOOKUP($H24,INDIRECT("Ref_EF_Fuel_Vehicle_Distance"&amp;"_"&amp;$C24),7,0),
$G24="Custom Vehicle",VLOOKUP($H24,Tbl_vehical_Settings,6,0),
$G24="Custom Fuel",VLOOKUP($M24,Tbl_Fuel_Settings,6,0),
$G24="Weight Distance (e.g. Freight Transport)",VLOOKUP($H24,INDIRECT("Ref_EF_Weight_Distance_CH4"&amp;"_"&amp;$C24),7,0),
$G24="Passenger Distance (e.g. Public Transport)",VLOOKUP($H24,INDIRECT("Ref_EF_Public_Transport_CH4"&amp;"_"&amp;$C24),11,0)),"")</f>
        <v/>
      </c>
      <c r="AL24" s="31" t="str" cm="1">
        <f t="array" aca="1" ref="AL24" ca="1">IFERROR(_xlfn.IFS(
AND($G24="Fuel Use",$E24&lt;&gt;"Road"),VLOOKUP($H24,INDIRECT("Ref_EF_ByFuel_CH4"&amp;"_"&amp;$C24),8,0),
$G24="Vehicle Distance (e.g. Road Transport)",VLOOKUP($H24,INDIRECT("Ref_EF_Vehicle_Distance"&amp;"_"&amp;$C24),12,0),
$G24="Vehicle Distance (e.g. Public or Freight Transport)",VLOOKUP($H24,INDIRECT("Ref_EF_Vehicle_Distance_S3"&amp;"_"&amp;$C24),12,0),
$G24="Fuel Use and Vehicle Distance",VLOOKUP($H24,INDIRECT("Ref_EF_Fuel_Vehicle_Distance"&amp;"_"&amp;$C24),8,0),
$G24="Custom Vehicle",VLOOKUP($H24,Tbl_vehical_Settings,7,0),
$G24="Custom Fuel",VLOOKUP($M24,Tbl_Fuel_Settings,7,0),
$G24="Weight Distance (e.g. Freight Transport)",VLOOKUP($H24,INDIRECT("Ref_EF_Weight_Distance_CH4"&amp;"_"&amp;$C24),8,0),
$G24="Passenger Distance (e.g. Public Transport)",VLOOKUP($H24,INDIRECT("Ref_EF_Public_Transport_CH4"&amp;"_"&amp;$C24),12,0)),"")</f>
        <v/>
      </c>
      <c r="AM24" s="31" t="e">
        <f ca="1">INDEX(Ref_Master_Unit_Table,MATCH($AB24,REF_To_Unit,0),MATCH('Reference - Lookup and Unit'!$A$11,Ref_From_Units,0))</f>
        <v>#N/A</v>
      </c>
      <c r="AN24" s="31" t="e">
        <f t="shared" ca="1" si="0"/>
        <v>#N/A</v>
      </c>
      <c r="AO24" s="31" t="e">
        <f ca="1">INDEX(Ref_Master_Unit_Table,MATCH($AE24,REF_To_Unit,0),MATCH('Reference - Lookup and Unit'!$A$11,Ref_From_Units,0))</f>
        <v>#N/A</v>
      </c>
      <c r="AP24" s="31" t="e">
        <f t="shared" ca="1" si="59"/>
        <v>#N/A</v>
      </c>
      <c r="AQ24" s="31" t="e">
        <f ca="1">INDEX(Ref_Master_Unit_Table,MATCH($AH24,REF_To_Unit,0),MATCH('Reference - Lookup and Unit'!$A$11,Ref_From_Units,0))</f>
        <v>#N/A</v>
      </c>
      <c r="AR24" s="31" t="e">
        <f t="shared" ca="1" si="60"/>
        <v>#N/A</v>
      </c>
      <c r="AS24" s="31" t="e">
        <f ca="1">INDEX(Ref_Master_Unit_Table,MATCH($AK24,REF_To_Unit,0),MATCH('Reference - Lookup and Unit'!$A$11,Ref_From_Units,0))</f>
        <v>#N/A</v>
      </c>
      <c r="AT24" s="31" t="e">
        <f t="shared" ca="1" si="61"/>
        <v>#N/A</v>
      </c>
      <c r="AU24" s="31" t="e" cm="1">
        <f t="array" aca="1" ref="AU24"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24" s="31">
        <f t="shared" ca="1" si="48"/>
        <v>27.9</v>
      </c>
      <c r="AW24" s="31">
        <f t="shared" ca="1" si="49"/>
        <v>273</v>
      </c>
      <c r="AX24" s="31" t="e" cm="1">
        <f t="array" aca="1" ref="AX24"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24" s="25" t="e" cm="1">
        <f t="array" ref="AY24">_xlfn.IFS(
AND($E24&lt;&gt;"",$G24="Custom Fuel"),("Settings_Custom_Fuels"),
AND($E24&lt;&gt;"",$G24="Custom vehicle"),("Settings_Custom_Vehicle"),
AND($E24&lt;&gt;"",$G24="Fuel Use"),("Ref_DD_vehicle_FuelUse"&amp;"_"&amp;C24&amp;"_"&amp;E24),
AND($E24&lt;&gt;"",$G24="Fuel Use and Vehicle Distance"),("Ref_DD_Fuel_VehicleDistance"&amp;"_"&amp;C24&amp;"_"&amp;E24),
AND($E24&lt;&gt;"",$G24="Vehicle Distance (e.g. Road Transport)"),("Ref_DD_vehicle_VehicleDistance"&amp;"_"&amp;C24&amp;"_"&amp;E24),
AND($E24&lt;&gt;"",$G24="Weight Distance (e.g. Freight Transport)"),("Ref_DD_vehicle_WeightDistance"&amp;"_"&amp;C24&amp;"_"&amp;E24),
AND($E24&lt;&gt;"",$G24="Vehicle Distance (e.g. Public or Freight Transport)"),("Ref_DD_vehicle_DistanceS3"&amp;"_"&amp;C24),
AND($E24&lt;&gt;"",$G24="Passenger Distance (e.g. Public Transport)"),("Ref_DD_vehicle_Passenger"&amp;"_"&amp;C24&amp;"_"&amp;E24),
AND($E24="",$G24="Fuel Use"),("Ref_DD_vehicle_FuelUse"&amp;"_"&amp;C24),
AND($E24="",OR($G24="Vehicle Distance (e.g. Road Transport)",$G24="Fuel Use and Vehicle Distance")),("Ref_DD_vehicle_VehicleDistance"&amp;"_"&amp;C24),
AND($E24="",$G24="Weight Distance (e.g. Freight Transport)"),("Ref_DD_vehicle_WeightDistance"&amp;"_"&amp;C24),
AND($E24="",$G24="Vehicle Distance (e.g. Public or Freight Transport)"),("Ref_DD_vehicle_DistanceS3"&amp;"_"&amp;C24),
AND($E24="",$G24="Passenger Distance (e.g. Public Transport)"),("Ref_DD_vehicle_Passenger"&amp;"_"&amp;C24))</f>
        <v>#N/A</v>
      </c>
      <c r="AZ24" s="25" t="b">
        <f t="shared" ca="1" si="4"/>
        <v>0</v>
      </c>
      <c r="BA24" s="25" t="str">
        <f t="shared" si="5"/>
        <v/>
      </c>
      <c r="BB24" s="25" t="str">
        <f t="shared" si="6"/>
        <v/>
      </c>
      <c r="BC24" s="25" t="str">
        <f t="shared" si="50"/>
        <v/>
      </c>
      <c r="BD24" s="25" t="str">
        <f t="shared" si="51"/>
        <v/>
      </c>
      <c r="BE24" s="25" t="str">
        <f t="shared" si="52"/>
        <v/>
      </c>
      <c r="BF24" s="25" t="str">
        <f t="shared" si="53"/>
        <v/>
      </c>
      <c r="BG24" s="25" t="str">
        <f t="shared" si="7"/>
        <v/>
      </c>
      <c r="BH24" s="25" t="str">
        <f t="shared" si="8"/>
        <v/>
      </c>
      <c r="BI24" s="25" t="str">
        <f t="shared" si="54"/>
        <v/>
      </c>
      <c r="BJ24" s="25" t="str">
        <f t="shared" si="55"/>
        <v/>
      </c>
      <c r="BK24" s="25" t="str">
        <f t="shared" si="56"/>
        <v/>
      </c>
      <c r="BL24" s="25" t="str">
        <f t="shared" si="57"/>
        <v/>
      </c>
      <c r="BM24" s="25" t="str">
        <f t="shared" si="9"/>
        <v/>
      </c>
      <c r="BN24" s="25" t="str">
        <f t="shared" ca="1" si="10"/>
        <v/>
      </c>
      <c r="BO24" s="25" t="str">
        <f t="shared" si="11"/>
        <v/>
      </c>
      <c r="BP24" s="25" t="str">
        <f t="shared" si="12"/>
        <v/>
      </c>
      <c r="BQ24" s="25" t="str">
        <f t="shared" si="13"/>
        <v/>
      </c>
      <c r="BR24" s="25" t="str">
        <f t="shared" si="14"/>
        <v/>
      </c>
      <c r="BS24" s="25" t="str">
        <f t="shared" si="15"/>
        <v/>
      </c>
      <c r="BT24" s="25" t="str">
        <f t="shared" si="16"/>
        <v/>
      </c>
      <c r="BU24" s="25" t="str">
        <f t="shared" si="17"/>
        <v/>
      </c>
      <c r="BV24" s="25" t="str">
        <f t="shared" si="18"/>
        <v/>
      </c>
      <c r="BW24" s="25" t="str">
        <f t="shared" si="19"/>
        <v/>
      </c>
      <c r="BX24" s="25" t="str">
        <f t="shared" si="20"/>
        <v/>
      </c>
      <c r="BY24" s="25" t="str">
        <f t="shared" si="21"/>
        <v/>
      </c>
      <c r="BZ24" s="25" t="str">
        <f t="shared" si="22"/>
        <v/>
      </c>
      <c r="CA24" s="25" t="str">
        <f t="shared" si="23"/>
        <v/>
      </c>
      <c r="CB24" s="25" t="str">
        <f t="shared" si="24"/>
        <v/>
      </c>
      <c r="CC24" s="25" t="str">
        <f t="shared" si="25"/>
        <v/>
      </c>
      <c r="CD24" s="25" t="str">
        <f t="shared" si="26"/>
        <v/>
      </c>
      <c r="CE24" s="25" t="str">
        <f t="shared" si="27"/>
        <v/>
      </c>
      <c r="CF24" s="25" t="str">
        <f t="shared" si="28"/>
        <v/>
      </c>
      <c r="CG24" s="25" t="str">
        <f t="shared" si="29"/>
        <v/>
      </c>
      <c r="CH24" s="25" t="str">
        <f t="shared" si="30"/>
        <v/>
      </c>
      <c r="CI24" s="25" t="str">
        <f t="shared" si="31"/>
        <v/>
      </c>
      <c r="CJ24" s="25" t="str">
        <f t="shared" si="32"/>
        <v/>
      </c>
      <c r="CK24" s="25" t="str">
        <f t="shared" si="33"/>
        <v/>
      </c>
      <c r="CL24" s="25" t="str">
        <f t="shared" si="34"/>
        <v/>
      </c>
      <c r="CM24" s="25" t="str">
        <f t="shared" si="35"/>
        <v/>
      </c>
      <c r="CN24" s="25" t="str">
        <f t="shared" si="36"/>
        <v/>
      </c>
      <c r="CO24" s="25" t="str">
        <f t="shared" si="37"/>
        <v/>
      </c>
      <c r="CP24" s="25" t="str">
        <f t="shared" si="38"/>
        <v/>
      </c>
      <c r="CQ24" s="25" t="str">
        <f t="shared" si="39"/>
        <v/>
      </c>
      <c r="CR24" s="25" t="str">
        <f t="shared" si="40"/>
        <v/>
      </c>
      <c r="CS24" s="25" t="str">
        <f t="shared" si="41"/>
        <v/>
      </c>
      <c r="CT24" s="25" t="str">
        <f t="shared" si="42"/>
        <v/>
      </c>
      <c r="CU24" s="25" t="str">
        <f t="shared" si="43"/>
        <v/>
      </c>
      <c r="CV24" s="25" t="str">
        <f t="shared" si="44"/>
        <v/>
      </c>
      <c r="CW24" s="25" t="str">
        <f t="shared" si="45"/>
        <v/>
      </c>
      <c r="CX24" s="25" t="str" cm="1">
        <f t="array" ref="CX24">_xlfn.IFNA(_xlfn.IFS(
$G24="Weight Distance (e.g. Freight Transport)","Ref_DD_WeightDistanceUnits",
$G24="Passenger Distance (e.g. Public Transport)","Ref_DD_PasengerDistanceUnits",
$G24="Vehicle Distance (e.g. Road Transport)", "Ref_DD_DistanceUnit",
$G24="Vehicle Distance (e.g. Public or Freight Transport)","Ref_DD_DistanceUnit",
$G24="Fuel Use and Vehicle Distance", "Ref_DD_DistanceUnit",
$G24="Custom Vehicle",VLOOKUP($H24,'2. Settings'!$B$39:$I$54,8,FALSE)),"")</f>
        <v/>
      </c>
      <c r="CY24" s="27" t="str">
        <f ca="1">IF(AND(ISERROR(#REF!*$AU24)=TRUE,ISERROR((S24/1000)*$AV24)=TRUE,ISERROR((T24/1000)*$AW24)=FALSE),((T24/1000)*$AW24),"")</f>
        <v/>
      </c>
      <c r="CZ24" s="27" cm="1">
        <f t="array" ref="CZ24">IFERROR(_xlfn.IFS(
AND($G24="Custom vehicle",OR($J24="Passenger Mile",$J24="Passenger Kilometer")),"Passenger Distance (e.g. Public Transport)",
AND($G24="Custom vehicle",OR($J24="Tonne Mile",$J24="Tonne Kilometer",$J24="Short Ton Kilometer",$J24="Short Ton Mile")),"Weight Distance (e.g. Freight Transport)",
AND($G24="Custom vehicle",OR($J24="Mile",$J24="Kilometer")),"Vehicle Distance (e.g. Road Transport)",
$G24&lt;&gt;"Custom vehicle",$G24),"")</f>
        <v>0</v>
      </c>
      <c r="DA24" s="27" t="str" cm="1">
        <f t="array" ref="DA24">IFERROR(_xlfn.IFS(OR(J24="Tonne Kilometer",J24="Tonne Mile",J24="Short Ton Mile",J24="Short Ton Kilometer"),I24*K24,OR(J24="Passenger Kilometer",J24="Passenger Mile"),I24*L24,OR(J24="Kilometer",J24="Mile"),$I24),"")</f>
        <v/>
      </c>
    </row>
    <row r="25" spans="2:105" x14ac:dyDescent="0.25">
      <c r="B25" s="244"/>
      <c r="C25" s="71" t="str" cm="1">
        <f t="array" ref="C25">IFERROR(_xlfn.IFS($D25="Other", D25&amp;"_" &amp;Ref_Other_to,OR($D25="UK", $D25="US"),$D25),"")</f>
        <v/>
      </c>
      <c r="D25" s="71"/>
      <c r="E25" s="71"/>
      <c r="F25" s="71"/>
      <c r="G25" s="72"/>
      <c r="H25" s="72"/>
      <c r="I25" s="73"/>
      <c r="J25" s="73"/>
      <c r="K25" s="73"/>
      <c r="L25" s="73"/>
      <c r="M25" s="74"/>
      <c r="N25" s="75"/>
      <c r="O25" s="71"/>
      <c r="P25" s="165" t="str">
        <f t="shared" si="58"/>
        <v/>
      </c>
      <c r="Q25" s="166" t="str">
        <f t="shared" si="46"/>
        <v/>
      </c>
      <c r="R25" s="76" t="str" cm="1">
        <f t="array" aca="1" ref="R25" ca="1">IFERROR(_xlfn.IFS(
AND(AA25&gt;0, OR($G25="Fuel Use",$G25="Custom Fuel")),$N25*$AA25*$AM25*$AN25,
AND(AA25&gt;0,$CZ25="Vehicle Distance (e.g. Road Transport)"),$I25*$AA25*$AM25*$AN25,
AND(AA25&gt;0,$CZ25="Vehicle Distance (e.g. Public or Freight Transport)"),$I25*$AA25*$AM25*$AN25,
AND(AA25&gt;0,$CZ25="Fuel Use and Vehicle Distance"),$N25*$AA25*$AM25*$AN25,
AND(AA25&gt;0,$CZ25="Passenger Distance (e.g. Public Transport)"),$DA25*$AA25*$AM25*$AN25,
AND(AA25&gt;0,$CZ25="Weight Distance (e.g. Freight Transport)"),$DA25*$AA25*$AM25*$AN25),"")</f>
        <v/>
      </c>
      <c r="S25" s="77" t="str" cm="1">
        <f t="array" aca="1" ref="S25" ca="1">IFERROR(_xlfn.IFS(
AND(AG25&gt;-1, $G25="Fuel Use and Vehicle Distance"),$I25*$AG25*$AQ25*$AR25,
AND(AG25&gt;-1, $G25="Vehicle Distance (e.g. Road Transport)"),$I25*$AG25*$AQ25*$AR25,
AND(AG25&gt;-1, $CZ25="Vehicle Distance (e.g. Public or Freight Transport)"),$I25*$AG25*$AQ25*$AR25,
AND(AG25&gt;-1, OR($G25="Fuel Use",$G25="Custom Fuel")), $N25*$AG25*$AQ25*$AR25*1000,
AND(AG25&gt;-1, $G25="Custom Vehicle"),$DA25*$AG25*$AQ25*$AR25*1000,
AND(AG25&gt;-1, AND($G25&lt;&gt;"Custom Vehicle",$CZ25="Weight Distance (e.g. Freight Transport)")),$DA25*$AG25*$AQ25*$AR25*1000,
AND(AG25&gt;-1, AND($G25&lt;&gt;"Custom Vehicle",$CZ25="Passenger Distance (e.g. Public Transport)")), $DA25*$AG25*$AQ25*$AR25*1000),"")</f>
        <v/>
      </c>
      <c r="T25" s="77" t="str" cm="1">
        <f t="array" aca="1" ref="T25" ca="1">IFERROR(_xlfn.IFS(
AND(AJ25&gt;0,$G25="Fuel Use and Vehicle Distance"),$I25*$AJ25*$AS25*$AT25,
AND(AJ25&gt;0,$G25="Vehicle Distance (e.g. Road Transport)"),$I25*$AJ25*$AS25*$AT25,
AND(AJ25&gt;0,$G25="Vehicle Distance (e.g. Public or Freight Transport)"),$I25*$AJ25*$AS25*$AT25,
AND(AJ25&gt;0,OR($G25="Fuel Use",$G25="Custom Fuel")), $N25*$AJ25*$AS25*$AT25*1000,
AND(AJ25&gt;0,$G25="Custom Vehicle"),$DA25*$AJ25*$AS25*$AT25*1000,
AND(AJ25&gt;0,AND($G25&lt;&gt;"Custom Vehicle",$CZ25="Weight Distance (e.g. Freight Transport)")),$DA25*$AJ25*$AS25*$AT25*1000,
AND(AJ25&gt;0,AND($G25&lt;&gt;"Custom Vehicle",$CZ25="Passenger Distance (e.g. Public Transport)")), $DA25*$AJ25*$AS25*$AT25*1000),"")</f>
        <v/>
      </c>
      <c r="U25" s="78" t="str">
        <f t="shared" ca="1" si="47"/>
        <v/>
      </c>
      <c r="V25" s="161" t="str" cm="1">
        <f t="array" aca="1" ref="V25" ca="1">IFERROR(_xlfn.IFS(
AND(AD25&gt;0,OR($CZ25="Fuel Use",$CZ25="Custom Fuel",$CZ25="Fuel Use and Vehicle Distance")),($N25*$AD25*$AO25*$AP25),
AND(AD25&gt;0,$G25="Custom Vehicle"),$DA25*$AD25*$AO25*$AP25,
AND(AD25&gt;0,$CZ25="Vehicle Distance (e.g. Public or Freight Transport)"),$I25*$AD25*$AM25*$AN25,
AND(AD25&gt;0,$CZ25="Weight Distance (e.g. Freight Transport)"),($I25*$K25*$AD25*$AO25*$AP25),
AND(AD25&gt;0,$CZ25="Passenger Distance (e.g. Public Transport)"),$I25*$L25*$AD25*$AO25*$AP25,
AND(AD25&gt;0,$CZ25="Vehicle Distance (e.g. Road Transport)"),($I25*$AD25*$AO25*$AP25)),"")</f>
        <v/>
      </c>
      <c r="W25" s="164" t="str" cm="1">
        <f t="array" aca="1" ref="W25" ca="1">IFERROR(_xlfn.IFS(AND(ISNUMBER(R25),AA25=0),AA25&amp;" "&amp;"("&amp;AB25&amp;" CO2/"&amp;AC25&amp;")",AND(ISNUMBER(R25),AA25&gt;0),ROUND(AA25,INT(3-LOG(AA25)))&amp;" "&amp;"("&amp;AB25&amp;" CO2/"&amp;AC25&amp;")"),"")</f>
        <v/>
      </c>
      <c r="X25" s="164" t="str" cm="1">
        <f t="array" aca="1" ref="X25" ca="1">IFERROR(_xlfn.IFS(AND(ISNUMBER(S25), AG25=0),AG25&amp;" "&amp;"("&amp;AH25&amp;" CH4/"&amp;AI25&amp;")",AND(ISNUMBER(S25), AG25&gt;0),ROUND(AG25,INT(3-LOG(AG25)))&amp;" "&amp;"("&amp;AH25&amp;" CH4/"&amp;AI25&amp;")"),"")</f>
        <v/>
      </c>
      <c r="Y25" s="164" t="str" cm="1">
        <f t="array" aca="1" ref="Y25" ca="1">IFERROR(_xlfn.IFS(AND(ISNUMBER(T25), AJ25=0),AJ25&amp;" "&amp;"("&amp;AK25&amp;" CH4/"&amp;AL25&amp;")",AND(ISNUMBER(T25), AJ25&gt;0),ROUND(AJ25,INT(3-LOG(AJ25)))&amp;" "&amp;"("&amp;AK25&amp;" N2O/"&amp;AL25&amp;")"),"")</f>
        <v/>
      </c>
      <c r="Z25" s="245" t="str" cm="1">
        <f t="array" aca="1" ref="Z25" ca="1">IFERROR(_xlfn.IFS(AND(ISNUMBER(V25),AD25=0),AD25&amp;" "&amp;"("&amp;AE25&amp;" CO2/"&amp;AF25&amp;")",AND(ISNUMBER(V25),AD25&gt;0),ROUND(AD25,INT(3-LOG(AD25)))&amp;" "&amp;"("&amp;AE25&amp;" CO2/"&amp;AF25&amp;")"),"")</f>
        <v/>
      </c>
      <c r="AA25" s="240" t="str" cm="1">
        <f t="array" aca="1" ref="AA25" ca="1">IFERROR(_xlfn.IFS(
OR($G25="Fuel Use",$G25="Fuel Use and Vehicle Distance"),VLOOKUP($M25,INDIRECT("Ref_EF_ByFuel"&amp;"_"&amp;$C25),3,0),
$G25="Vehicle Distance (e.g. Road Transport)",VLOOKUP($H25,INDIRECT("Ref_EF_Vehicle_Distance"&amp;"_"&amp;$C25),3,0),
$G25="Vehicle Distance (e.g. Public or Freight Transport)",VLOOKUP($H25,INDIRECT("Ref_EF_Vehicle_Distance_S3"&amp;"_"&amp;$C25),3,0),
$G25="Custom Vehicle",VLOOKUP($H25,Tbl_vehical_Settings,2,0),
$G25="Custom Fuel",VLOOKUP($M25,Tbl_Fuel_Settings,2,0),
$G25="Weight Distance (e.g. Freight Transport)",VLOOKUP($H25,INDIRECT("Ref_EF_Weight_Distance"&amp;"_"&amp;$C25),3,0),
$G25="Passenger Distance (e.g. Public Transport)",VLOOKUP($H25,INDIRECT("Ref_EF_Public_Transport"&amp;"_"&amp;$C25),3,0)),"")</f>
        <v/>
      </c>
      <c r="AB25" s="31" t="str" cm="1">
        <f t="array" aca="1" ref="AB25" ca="1">IFERROR(_xlfn.IFS(
OR($G25="Fuel Use",$G25="Fuel Use and Vehicle Distance"),VLOOKUP($M25,INDIRECT("Ref_EF_ByFuel"&amp;"_"&amp;$C25),5,0),
$G25="Vehicle Distance (e.g. Road Transport)",VLOOKUP($H25,INDIRECT("Ref_EF_Vehicle_Distance"&amp;"_"&amp;$C25),5,0),
$G25="Vehicle Distance (e.g. Public or Freight Transport)",VLOOKUP($H25,INDIRECT("Ref_EF_Vehicle_Distance_S3"&amp;"_"&amp;$C25),5,0),
$G25="Custom Vehicle",VLOOKUP($H25,Tbl_vehical_Settings,6,0),
$G25="Custom Fuel",VLOOKUP($M25,Tbl_Fuel_Settings,6,0),
$G25="Weight Distance (e.g. Freight Transport)",VLOOKUP($H25,INDIRECT("Ref_EF_Weight_Distance"&amp;"_"&amp;$C25),5,0),
$G25="Passenger Distance (e.g. Public Transport)",VLOOKUP($H25,INDIRECT("Ref_EF_Public_Transport"&amp;"_"&amp;$C25),5,0)),"")</f>
        <v/>
      </c>
      <c r="AC25" s="31" t="str" cm="1">
        <f t="array" aca="1" ref="AC25" ca="1">IFERROR(_xlfn.IFS(
OR($G25="Fuel Use",$G25="Fuel Use and Vehicle Distance"),VLOOKUP($M25,INDIRECT("Ref_EF_ByFuel"&amp;"_"&amp;$C25),6,0),
$G25="Vehicle Distance (e.g. Road Transport)",VLOOKUP($H25,INDIRECT("Ref_EF_Vehicle_Distance"&amp;"_"&amp;$C25),6,0),
$G25="Vehicle Distance (e.g. Public or Freight Transport)",VLOOKUP($H25,INDIRECT("Ref_EF_Vehicle_Distance_S3"&amp;"_"&amp;$C25),6,0),
$G25="Custom Vehicle",VLOOKUP($H25,Tbl_vehical_Settings,7,0),
$G25="Custom Fuel",VLOOKUP($M25,Tbl_Fuel_Settings,7,0),
$G25="Weight Distance (e.g. Freight Transport)",VLOOKUP($H25,INDIRECT("Ref_EF_Weight_Distance"&amp;"_"&amp;$C25),6,0),
$G25="Passenger Distance (e.g. Public Transport)",VLOOKUP($H25,INDIRECT("Ref_EF_Public_Transport"&amp;"_"&amp;$C25),6,0)),"")</f>
        <v/>
      </c>
      <c r="AD25" s="31" t="str" cm="1">
        <f t="array" aca="1" ref="AD25" ca="1">IFERROR(_xlfn.IFS(
OR($G25="Fuel Use",$G25="Fuel Use and Vehicle Distance"),VLOOKUP($M25,INDIRECT("Ref_EF_ByFuel"&amp;"_"&amp;$C25),4,0),
$G25="Vehicle Distance (e.g. Road Transport)",VLOOKUP($H25,INDIRECT("Ref_EF_Vehicle_Distance"&amp;"_"&amp;$C25),4,0),
$G25="Vehicle Distance (e.g. Public or Freight Transport)",VLOOKUP($H25,INDIRECT("Ref_EF_Vehicle_Distance_S3"&amp;"_"&amp;$C25),4,0),
$G25="Custom Vehicle",VLOOKUP($H25,Tbl_vehical_Settings,5,0),
$G25="Custom Fuel",VLOOKUP($M25,Tbl_Fuel_Settings,5,0),
$G25="Weight Distance (e.g. Freight Transport)",VLOOKUP($H25,INDIRECT("Ref_EF_Weight_Distance"&amp;"_"&amp;$C25),4,0),
$G25="Passenger Distance (e.g. Public Transport)",VLOOKUP($H25,INDIRECT("Ref_EF_Public_Transport"&amp;"_"&amp;$C25),4,0)),"")</f>
        <v/>
      </c>
      <c r="AE25" s="31" t="str" cm="1">
        <f t="array" aca="1" ref="AE25" ca="1">IFERROR(_xlfn.IFS(
OR($G25="Fuel Use",$G25="Fuel Use and Vehicle Distance"),VLOOKUP($M25,INDIRECT("Ref_EF_ByFuel"&amp;"_"&amp;$C25),5,0),
$G25="Vehicle Distance (e.g. Road Transport)",VLOOKUP($H25,INDIRECT("Ref_EF_Vehicle_Distance"&amp;"_"&amp;$C25),5,0),
$G25="Vehicle Distance (e.g. Public or Freight Transport)",VLOOKUP($H25,INDIRECT("Ref_EF_Vehicle_Distance_S3"&amp;"_"&amp;$C25),5,0),
$G25="Custom Vehicle",VLOOKUP($H25,Tbl_vehical_Settings,6,0),
$G25="Custom Fuel",VLOOKUP($M25,Tbl_Fuel_Settings,6,0),
$G25="Weight Distance (e.g. Freight Transport)",VLOOKUP($H25,INDIRECT("Ref_EF_Weight_Distance"&amp;"_"&amp;$C25),5,0),
$G25="Passenger Distance (e.g. Public Transport)",VLOOKUP($H25,INDIRECT("Ref_EF_Public_Transport"&amp;"_"&amp;$C25),5,0)),"")</f>
        <v/>
      </c>
      <c r="AF25" s="31" t="str" cm="1">
        <f t="array" aca="1" ref="AF25" ca="1">IFERROR(_xlfn.IFS(
OR($G25="Fuel Use",$G25="Fuel Use and Vehicle Distance"),VLOOKUP($M25,INDIRECT("Ref_EF_ByFuel"&amp;"_"&amp;$C25),6,0),
$G25="Vehicle Distance (e.g. Road Transport)",VLOOKUP($H25,INDIRECT("Ref_EF_Vehicle_Distance"&amp;"_"&amp;$C25),6,0),
$G25="Vehicle Distance (e.g. Public or Freight Transport)",VLOOKUP($H25,INDIRECT("Ref_EF_Vehicle_Distance_S3"&amp;"_"&amp;$C25),6,0),
$G25="Custom Vehicle",VLOOKUP($H25,Tbl_vehical_Settings,7,0),
$G25="Custom Fuel",VLOOKUP($M25,Tbl_Fuel_Settings,7,0),
$G25="Weight Distance (e.g. Freight Transport)",VLOOKUP($H25,INDIRECT("Ref_EF_Weight_Distance"&amp;"_"&amp;$C25),6,0),
$G25="Passenger Distance (e.g. Public Transport)",VLOOKUP($H25,INDIRECT("Ref_EF_Public_Transport"&amp;"_"&amp;$C25),6,0)),"")</f>
        <v/>
      </c>
      <c r="AG25" s="31" t="str" cm="1">
        <f t="array" aca="1" ref="AG25" ca="1">IFERROR(_xlfn.IFS(
AND($G25="Fuel Use",$E25&lt;&gt;"Road"),VLOOKUP($H25,INDIRECT("Ref_EF_ByFuel_CH4"&amp;"_"&amp;$C25),3,0),
$G25="Vehicle Distance (e.g. Road Transport)",VLOOKUP($H25,INDIRECT("Ref_EF_Vehicle_Distance"&amp;"_"&amp;$C25),7,0),
$G25="Vehicle Distance (e.g. Public or Freight Transport)",VLOOKUP($H25,INDIRECT("Ref_EF_Vehicle_Distance_S3"&amp;"_"&amp;$C25),7,0),
$G25="Fuel Use and Vehicle Distance",VLOOKUP($H25,INDIRECT("Ref_EF_Fuel_Vehicle_Distance"&amp;"_"&amp;$C25),3,0),
$G25="Custom Vehicle",VLOOKUP($H25,Tbl_vehical_Settings,3,0),
$G25="Custom Fuel",VLOOKUP($M25,Tbl_Fuel_Settings,3,0),
$G25="Weight Distance (e.g. Freight Transport)",VLOOKUP($H25,INDIRECT("Ref_EF_Weight_Distance_CH4"&amp;"_"&amp;$C25),3,0),
$G25="Passenger Distance (e.g. Public Transport)",VLOOKUP($H25,INDIRECT("Ref_EF_Public_Transport_CH4"&amp;"_"&amp;$C25),7,0)),"")</f>
        <v/>
      </c>
      <c r="AH25" s="31" t="str" cm="1">
        <f t="array" aca="1" ref="AH25" ca="1">IFERROR(_xlfn.IFS(
AND($G25="Fuel Use",$E25&lt;&gt;"Road"),VLOOKUP($H25,INDIRECT("Ref_EF_ByFuel_CH4"&amp;"_"&amp;$C25),4,0),
$G25="Vehicle Distance (e.g. Road Transport)",VLOOKUP($H25,INDIRECT("Ref_EF_Vehicle_Distance"&amp;"_"&amp;$C25),8,0),
$G25="Vehicle Distance (e.g. Public or Freight Transport)",VLOOKUP($H25,INDIRECT("Ref_EF_Vehicle_Distance_S3"&amp;"_"&amp;$C25),8,0),
$G25="Fuel Use and Vehicle Distance",VLOOKUP($H25,INDIRECT("Ref_EF_Fuel_Vehicle_Distance"&amp;"_"&amp;$C25),4,0),
$G25="Custom Vehicle",VLOOKUP($H25,Tbl_vehical_Settings,6,0),
$G25="Custom Fuel",VLOOKUP($M25,Tbl_Fuel_Settings,6,0),
$G25="Weight Distance (e.g. Freight Transport)",VLOOKUP($H25,INDIRECT("Ref_EF_Weight_Distance_CH4"&amp;"_"&amp;$C25),4,0),
$G25="Passenger Distance (e.g. Public Transport)",VLOOKUP($H25,INDIRECT("Ref_EF_Public_Transport_CH4"&amp;"_"&amp;$C25),8,0)),"")</f>
        <v/>
      </c>
      <c r="AI25" s="31" t="str" cm="1">
        <f t="array" aca="1" ref="AI25" ca="1">IFERROR(_xlfn.IFS(
AND($G25="Fuel Use",$E25&lt;&gt;"Road"),VLOOKUP($H25,INDIRECT("Ref_EF_ByFuel_CH4"&amp;"_"&amp;$C25),5,0),
$G25="Vehicle Distance (e.g. Road Transport)",VLOOKUP($H25,INDIRECT("Ref_EF_Vehicle_Distance"&amp;"_"&amp;$C25),9,0),
$G25="Vehicle Distance (e.g. Public or Freight Transport)",VLOOKUP($H25,INDIRECT("Ref_EF_Vehicle_Distance_S3"&amp;"_"&amp;$C25),9,0),
$G25="Fuel Use and Vehicle Distance",VLOOKUP($H25,INDIRECT("Ref_EF_Fuel_Vehicle_Distance"&amp;"_"&amp;$C25),5,0),
$G25="Custom Vehicle",VLOOKUP($H25,Tbl_vehical_Settings,7,0),
$G25="Custom Fuel",VLOOKUP($M25,Tbl_Fuel_Settings,7,0),
$G25="Weight Distance (e.g. Freight Transport)",VLOOKUP($H25,INDIRECT("Ref_EF_Weight_Distance_CH4"&amp;"_"&amp;$C25),5,0),
$G25="Passenger Distance (e.g. Public Transport)",VLOOKUP($H25,INDIRECT("Ref_EF_Public_Transport_CH4"&amp;"_"&amp;$C25),9,0)),"")</f>
        <v/>
      </c>
      <c r="AJ25" s="31" t="str" cm="1">
        <f t="array" aca="1" ref="AJ25" ca="1">IFERROR(_xlfn.IFS(
AND($G25="Fuel Use",$E25&lt;&gt;"Road"),VLOOKUP($H25,INDIRECT("Ref_EF_ByFuel_CH4"&amp;"_"&amp;$C25),6,0),
$G25="Vehicle Distance (e.g. Road Transport)",VLOOKUP($H25,INDIRECT("Ref_EF_Vehicle_Distance"&amp;"_"&amp;$C25),10,0),
$G25="Vehicle Distance (e.g. Public or Freight Transport)",VLOOKUP($H25,INDIRECT("Ref_EF_Vehicle_Distance_S3"&amp;"_"&amp;$C25),10,0),
$G25="Fuel Use and Vehicle Distance",VLOOKUP($H25,INDIRECT("Ref_EF_Fuel_Vehicle_Distance"&amp;"_"&amp;$C25),6,0),
$G25="Custom Vehicle",VLOOKUP($H25,Tbl_vehical_Settings,4,0),
$G25="Custom Fuel",VLOOKUP($M25,Tbl_Fuel_Settings,4,0),
$G25="Weight Distance (e.g. Freight Transport)",VLOOKUP($H25,INDIRECT("Ref_EF_Weight_Distance_CH4"&amp;"_"&amp;$C25),6,0),
$G25="Passenger Distance (e.g. Public Transport)",VLOOKUP($H25,INDIRECT("Ref_EF_Public_Transport_CH4"&amp;"_"&amp;$C25),10,0)),"")</f>
        <v/>
      </c>
      <c r="AK25" s="31" t="str" cm="1">
        <f t="array" aca="1" ref="AK25" ca="1">IFERROR(_xlfn.IFS(
AND($G25="Fuel Use",$E25&lt;&gt;"Road"),VLOOKUP($H25,INDIRECT("Ref_EF_ByFuel_CH4"&amp;"_"&amp;$C25),7,0),
$G25="Vehicle Distance (e.g. Road Transport)",VLOOKUP($H25,INDIRECT("Ref_EF_Vehicle_Distance"&amp;"_"&amp;$C25),11,0),
$G25="Vehicle Distance (e.g. Public or Freight Transport)",VLOOKUP($H25,INDIRECT("Ref_EF_Vehicle_Distance_S3"&amp;"_"&amp;$C25),11,0),
$G25="Fuel Use and Vehicle Distance",VLOOKUP($H25,INDIRECT("Ref_EF_Fuel_Vehicle_Distance"&amp;"_"&amp;$C25),7,0),
$G25="Custom Vehicle",VLOOKUP($H25,Tbl_vehical_Settings,6,0),
$G25="Custom Fuel",VLOOKUP($M25,Tbl_Fuel_Settings,6,0),
$G25="Weight Distance (e.g. Freight Transport)",VLOOKUP($H25,INDIRECT("Ref_EF_Weight_Distance_CH4"&amp;"_"&amp;$C25),7,0),
$G25="Passenger Distance (e.g. Public Transport)",VLOOKUP($H25,INDIRECT("Ref_EF_Public_Transport_CH4"&amp;"_"&amp;$C25),11,0)),"")</f>
        <v/>
      </c>
      <c r="AL25" s="31" t="str" cm="1">
        <f t="array" aca="1" ref="AL25" ca="1">IFERROR(_xlfn.IFS(
AND($G25="Fuel Use",$E25&lt;&gt;"Road"),VLOOKUP($H25,INDIRECT("Ref_EF_ByFuel_CH4"&amp;"_"&amp;$C25),8,0),
$G25="Vehicle Distance (e.g. Road Transport)",VLOOKUP($H25,INDIRECT("Ref_EF_Vehicle_Distance"&amp;"_"&amp;$C25),12,0),
$G25="Vehicle Distance (e.g. Public or Freight Transport)",VLOOKUP($H25,INDIRECT("Ref_EF_Vehicle_Distance_S3"&amp;"_"&amp;$C25),12,0),
$G25="Fuel Use and Vehicle Distance",VLOOKUP($H25,INDIRECT("Ref_EF_Fuel_Vehicle_Distance"&amp;"_"&amp;$C25),8,0),
$G25="Custom Vehicle",VLOOKUP($H25,Tbl_vehical_Settings,7,0),
$G25="Custom Fuel",VLOOKUP($M25,Tbl_Fuel_Settings,7,0),
$G25="Weight Distance (e.g. Freight Transport)",VLOOKUP($H25,INDIRECT("Ref_EF_Weight_Distance_CH4"&amp;"_"&amp;$C25),8,0),
$G25="Passenger Distance (e.g. Public Transport)",VLOOKUP($H25,INDIRECT("Ref_EF_Public_Transport_CH4"&amp;"_"&amp;$C25),12,0)),"")</f>
        <v/>
      </c>
      <c r="AM25" s="31" t="e">
        <f ca="1">INDEX(Ref_Master_Unit_Table,MATCH($AB25,REF_To_Unit,0),MATCH('Reference - Lookup and Unit'!$A$11,Ref_From_Units,0))</f>
        <v>#N/A</v>
      </c>
      <c r="AN25" s="31" t="e">
        <f t="shared" ca="1" si="0"/>
        <v>#N/A</v>
      </c>
      <c r="AO25" s="31" t="e">
        <f ca="1">INDEX(Ref_Master_Unit_Table,MATCH($AE25,REF_To_Unit,0),MATCH('Reference - Lookup and Unit'!$A$11,Ref_From_Units,0))</f>
        <v>#N/A</v>
      </c>
      <c r="AP25" s="31" t="e">
        <f t="shared" ca="1" si="59"/>
        <v>#N/A</v>
      </c>
      <c r="AQ25" s="31" t="e">
        <f ca="1">INDEX(Ref_Master_Unit_Table,MATCH($AH25,REF_To_Unit,0),MATCH('Reference - Lookup and Unit'!$A$11,Ref_From_Units,0))</f>
        <v>#N/A</v>
      </c>
      <c r="AR25" s="31" t="e">
        <f t="shared" ca="1" si="60"/>
        <v>#N/A</v>
      </c>
      <c r="AS25" s="31" t="e">
        <f ca="1">INDEX(Ref_Master_Unit_Table,MATCH($AK25,REF_To_Unit,0),MATCH('Reference - Lookup and Unit'!$A$11,Ref_From_Units,0))</f>
        <v>#N/A</v>
      </c>
      <c r="AT25" s="31" t="e">
        <f t="shared" ca="1" si="61"/>
        <v>#N/A</v>
      </c>
      <c r="AU25" s="31" t="e" cm="1">
        <f t="array" aca="1" ref="AU25"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25" s="31">
        <f t="shared" ca="1" si="48"/>
        <v>27.9</v>
      </c>
      <c r="AW25" s="31">
        <f t="shared" ca="1" si="49"/>
        <v>273</v>
      </c>
      <c r="AX25" s="31" t="e" cm="1">
        <f t="array" aca="1" ref="AX25"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25" s="25" t="e" cm="1">
        <f t="array" ref="AY25">_xlfn.IFS(
AND($E25&lt;&gt;"",$G25="Custom Fuel"),("Settings_Custom_Fuels"),
AND($E25&lt;&gt;"",$G25="Custom vehicle"),("Settings_Custom_Vehicle"),
AND($E25&lt;&gt;"",$G25="Fuel Use"),("Ref_DD_vehicle_FuelUse"&amp;"_"&amp;C25&amp;"_"&amp;E25),
AND($E25&lt;&gt;"",$G25="Fuel Use and Vehicle Distance"),("Ref_DD_Fuel_VehicleDistance"&amp;"_"&amp;C25&amp;"_"&amp;E25),
AND($E25&lt;&gt;"",$G25="Vehicle Distance (e.g. Road Transport)"),("Ref_DD_vehicle_VehicleDistance"&amp;"_"&amp;C25&amp;"_"&amp;E25),
AND($E25&lt;&gt;"",$G25="Weight Distance (e.g. Freight Transport)"),("Ref_DD_vehicle_WeightDistance"&amp;"_"&amp;C25&amp;"_"&amp;E25),
AND($E25&lt;&gt;"",$G25="Vehicle Distance (e.g. Public or Freight Transport)"),("Ref_DD_vehicle_DistanceS3"&amp;"_"&amp;C25),
AND($E25&lt;&gt;"",$G25="Passenger Distance (e.g. Public Transport)"),("Ref_DD_vehicle_Passenger"&amp;"_"&amp;C25&amp;"_"&amp;E25),
AND($E25="",$G25="Fuel Use"),("Ref_DD_vehicle_FuelUse"&amp;"_"&amp;C25),
AND($E25="",OR($G25="Vehicle Distance (e.g. Road Transport)",$G25="Fuel Use and Vehicle Distance")),("Ref_DD_vehicle_VehicleDistance"&amp;"_"&amp;C25),
AND($E25="",$G25="Weight Distance (e.g. Freight Transport)"),("Ref_DD_vehicle_WeightDistance"&amp;"_"&amp;C25),
AND($E25="",$G25="Vehicle Distance (e.g. Public or Freight Transport)"),("Ref_DD_vehicle_DistanceS3"&amp;"_"&amp;C25),
AND($E25="",$G25="Passenger Distance (e.g. Public Transport)"),("Ref_DD_vehicle_Passenger"&amp;"_"&amp;C25))</f>
        <v>#N/A</v>
      </c>
      <c r="AZ25" s="25" t="b">
        <f t="shared" ca="1" si="4"/>
        <v>0</v>
      </c>
      <c r="BA25" s="25" t="str">
        <f t="shared" si="5"/>
        <v/>
      </c>
      <c r="BB25" s="25" t="str">
        <f t="shared" si="6"/>
        <v/>
      </c>
      <c r="BC25" s="25" t="str">
        <f t="shared" si="50"/>
        <v/>
      </c>
      <c r="BD25" s="25" t="str">
        <f t="shared" si="51"/>
        <v/>
      </c>
      <c r="BE25" s="25" t="str">
        <f t="shared" si="52"/>
        <v/>
      </c>
      <c r="BF25" s="25" t="str">
        <f t="shared" si="53"/>
        <v/>
      </c>
      <c r="BG25" s="25" t="str">
        <f t="shared" si="7"/>
        <v/>
      </c>
      <c r="BH25" s="25" t="str">
        <f t="shared" si="8"/>
        <v/>
      </c>
      <c r="BI25" s="25" t="str">
        <f t="shared" si="54"/>
        <v/>
      </c>
      <c r="BJ25" s="25" t="str">
        <f t="shared" si="55"/>
        <v/>
      </c>
      <c r="BK25" s="25" t="str">
        <f t="shared" si="56"/>
        <v/>
      </c>
      <c r="BL25" s="25" t="str">
        <f t="shared" si="57"/>
        <v/>
      </c>
      <c r="BM25" s="25" t="str">
        <f t="shared" si="9"/>
        <v/>
      </c>
      <c r="BN25" s="25" t="str">
        <f t="shared" ca="1" si="10"/>
        <v/>
      </c>
      <c r="BO25" s="25" t="str">
        <f t="shared" si="11"/>
        <v/>
      </c>
      <c r="BP25" s="25" t="str">
        <f t="shared" si="12"/>
        <v/>
      </c>
      <c r="BQ25" s="25" t="str">
        <f t="shared" si="13"/>
        <v/>
      </c>
      <c r="BR25" s="25" t="str">
        <f t="shared" si="14"/>
        <v/>
      </c>
      <c r="BS25" s="25" t="str">
        <f t="shared" si="15"/>
        <v/>
      </c>
      <c r="BT25" s="25" t="str">
        <f t="shared" si="16"/>
        <v/>
      </c>
      <c r="BU25" s="25" t="str">
        <f t="shared" si="17"/>
        <v/>
      </c>
      <c r="BV25" s="25" t="str">
        <f t="shared" si="18"/>
        <v/>
      </c>
      <c r="BW25" s="25" t="str">
        <f t="shared" si="19"/>
        <v/>
      </c>
      <c r="BX25" s="25" t="str">
        <f t="shared" si="20"/>
        <v/>
      </c>
      <c r="BY25" s="25" t="str">
        <f t="shared" si="21"/>
        <v/>
      </c>
      <c r="BZ25" s="25" t="str">
        <f t="shared" si="22"/>
        <v/>
      </c>
      <c r="CA25" s="25" t="str">
        <f t="shared" si="23"/>
        <v/>
      </c>
      <c r="CB25" s="25" t="str">
        <f t="shared" si="24"/>
        <v/>
      </c>
      <c r="CC25" s="25" t="str">
        <f t="shared" si="25"/>
        <v/>
      </c>
      <c r="CD25" s="25" t="str">
        <f t="shared" si="26"/>
        <v/>
      </c>
      <c r="CE25" s="25" t="str">
        <f t="shared" si="27"/>
        <v/>
      </c>
      <c r="CF25" s="25" t="str">
        <f t="shared" si="28"/>
        <v/>
      </c>
      <c r="CG25" s="25" t="str">
        <f t="shared" si="29"/>
        <v/>
      </c>
      <c r="CH25" s="25" t="str">
        <f t="shared" si="30"/>
        <v/>
      </c>
      <c r="CI25" s="25" t="str">
        <f t="shared" si="31"/>
        <v/>
      </c>
      <c r="CJ25" s="25" t="str">
        <f t="shared" si="32"/>
        <v/>
      </c>
      <c r="CK25" s="25" t="str">
        <f t="shared" si="33"/>
        <v/>
      </c>
      <c r="CL25" s="25" t="str">
        <f t="shared" si="34"/>
        <v/>
      </c>
      <c r="CM25" s="25" t="str">
        <f t="shared" si="35"/>
        <v/>
      </c>
      <c r="CN25" s="25" t="str">
        <f t="shared" si="36"/>
        <v/>
      </c>
      <c r="CO25" s="25" t="str">
        <f t="shared" si="37"/>
        <v/>
      </c>
      <c r="CP25" s="25" t="str">
        <f t="shared" si="38"/>
        <v/>
      </c>
      <c r="CQ25" s="25" t="str">
        <f t="shared" si="39"/>
        <v/>
      </c>
      <c r="CR25" s="25" t="str">
        <f t="shared" si="40"/>
        <v/>
      </c>
      <c r="CS25" s="25" t="str">
        <f t="shared" si="41"/>
        <v/>
      </c>
      <c r="CT25" s="25" t="str">
        <f t="shared" si="42"/>
        <v/>
      </c>
      <c r="CU25" s="25" t="str">
        <f t="shared" si="43"/>
        <v/>
      </c>
      <c r="CV25" s="25" t="str">
        <f t="shared" si="44"/>
        <v/>
      </c>
      <c r="CW25" s="25" t="str">
        <f t="shared" si="45"/>
        <v/>
      </c>
      <c r="CX25" s="25" t="str" cm="1">
        <f t="array" ref="CX25">_xlfn.IFNA(_xlfn.IFS(
$G25="Weight Distance (e.g. Freight Transport)","Ref_DD_WeightDistanceUnits",
$G25="Passenger Distance (e.g. Public Transport)","Ref_DD_PasengerDistanceUnits",
$G25="Vehicle Distance (e.g. Road Transport)", "Ref_DD_DistanceUnit",
$G25="Vehicle Distance (e.g. Public or Freight Transport)","Ref_DD_DistanceUnit",
$G25="Fuel Use and Vehicle Distance", "Ref_DD_DistanceUnit",
$G25="Custom Vehicle",VLOOKUP($H25,'2. Settings'!$B$39:$I$54,8,FALSE)),"")</f>
        <v/>
      </c>
      <c r="CY25" s="27" t="str">
        <f ca="1">IF(AND(ISERROR(#REF!*$AU25)=TRUE,ISERROR((S25/1000)*$AV25)=TRUE,ISERROR((T25/1000)*$AW25)=FALSE),((T25/1000)*$AW25),"")</f>
        <v/>
      </c>
      <c r="CZ25" s="27" cm="1">
        <f t="array" ref="CZ25">IFERROR(_xlfn.IFS(
AND($G25="Custom vehicle",OR($J25="Passenger Mile",$J25="Passenger Kilometer")),"Passenger Distance (e.g. Public Transport)",
AND($G25="Custom vehicle",OR($J25="Tonne Mile",$J25="Tonne Kilometer",$J25="Short Ton Kilometer",$J25="Short Ton Mile")),"Weight Distance (e.g. Freight Transport)",
AND($G25="Custom vehicle",OR($J25="Mile",$J25="Kilometer")),"Vehicle Distance (e.g. Road Transport)",
$G25&lt;&gt;"Custom vehicle",$G25),"")</f>
        <v>0</v>
      </c>
      <c r="DA25" s="27" t="str" cm="1">
        <f t="array" ref="DA25">IFERROR(_xlfn.IFS(OR(J25="Tonne Kilometer",J25="Tonne Mile",J25="Short Ton Mile",J25="Short Ton Kilometer"),I25*K25,OR(J25="Passenger Kilometer",J25="Passenger Mile"),I25*L25,OR(J25="Kilometer",J25="Mile"),$I25),"")</f>
        <v/>
      </c>
    </row>
    <row r="26" spans="2:105" x14ac:dyDescent="0.25">
      <c r="B26" s="244"/>
      <c r="C26" s="71" t="str" cm="1">
        <f t="array" ref="C26">IFERROR(_xlfn.IFS($D26="Other", D26&amp;"_" &amp;Ref_Other_to,OR($D26="UK", $D26="US"),$D26),"")</f>
        <v/>
      </c>
      <c r="D26" s="71"/>
      <c r="E26" s="71"/>
      <c r="F26" s="71"/>
      <c r="G26" s="72"/>
      <c r="H26" s="72"/>
      <c r="I26" s="73"/>
      <c r="J26" s="73"/>
      <c r="K26" s="73"/>
      <c r="L26" s="73"/>
      <c r="M26" s="74"/>
      <c r="N26" s="75"/>
      <c r="O26" s="71"/>
      <c r="P26" s="165" t="str">
        <f t="shared" si="58"/>
        <v/>
      </c>
      <c r="Q26" s="166" t="str">
        <f t="shared" si="46"/>
        <v/>
      </c>
      <c r="R26" s="76" t="str" cm="1">
        <f t="array" aca="1" ref="R26" ca="1">IFERROR(_xlfn.IFS(
AND(AA26&gt;0, OR($G26="Fuel Use",$G26="Custom Fuel")),$N26*$AA26*$AM26*$AN26,
AND(AA26&gt;0,$CZ26="Vehicle Distance (e.g. Road Transport)"),$I26*$AA26*$AM26*$AN26,
AND(AA26&gt;0,$CZ26="Vehicle Distance (e.g. Public or Freight Transport)"),$I26*$AA26*$AM26*$AN26,
AND(AA26&gt;0,$CZ26="Fuel Use and Vehicle Distance"),$N26*$AA26*$AM26*$AN26,
AND(AA26&gt;0,$CZ26="Passenger Distance (e.g. Public Transport)"),$DA26*$AA26*$AM26*$AN26,
AND(AA26&gt;0,$CZ26="Weight Distance (e.g. Freight Transport)"),$DA26*$AA26*$AM26*$AN26),"")</f>
        <v/>
      </c>
      <c r="S26" s="77" t="str" cm="1">
        <f t="array" aca="1" ref="S26" ca="1">IFERROR(_xlfn.IFS(
AND(AG26&gt;-1, $G26="Fuel Use and Vehicle Distance"),$I26*$AG26*$AQ26*$AR26,
AND(AG26&gt;-1, $G26="Vehicle Distance (e.g. Road Transport)"),$I26*$AG26*$AQ26*$AR26,
AND(AG26&gt;-1, $CZ26="Vehicle Distance (e.g. Public or Freight Transport)"),$I26*$AG26*$AQ26*$AR26,
AND(AG26&gt;-1, OR($G26="Fuel Use",$G26="Custom Fuel")), $N26*$AG26*$AQ26*$AR26*1000,
AND(AG26&gt;-1, $G26="Custom Vehicle"),$DA26*$AG26*$AQ26*$AR26*1000,
AND(AG26&gt;-1, AND($G26&lt;&gt;"Custom Vehicle",$CZ26="Weight Distance (e.g. Freight Transport)")),$DA26*$AG26*$AQ26*$AR26*1000,
AND(AG26&gt;-1, AND($G26&lt;&gt;"Custom Vehicle",$CZ26="Passenger Distance (e.g. Public Transport)")), $DA26*$AG26*$AQ26*$AR26*1000),"")</f>
        <v/>
      </c>
      <c r="T26" s="77" t="str" cm="1">
        <f t="array" aca="1" ref="T26" ca="1">IFERROR(_xlfn.IFS(
AND(AJ26&gt;0,$G26="Fuel Use and Vehicle Distance"),$I26*$AJ26*$AS26*$AT26,
AND(AJ26&gt;0,$G26="Vehicle Distance (e.g. Road Transport)"),$I26*$AJ26*$AS26*$AT26,
AND(AJ26&gt;0,$G26="Vehicle Distance (e.g. Public or Freight Transport)"),$I26*$AJ26*$AS26*$AT26,
AND(AJ26&gt;0,OR($G26="Fuel Use",$G26="Custom Fuel")), $N26*$AJ26*$AS26*$AT26*1000,
AND(AJ26&gt;0,$G26="Custom Vehicle"),$DA26*$AJ26*$AS26*$AT26*1000,
AND(AJ26&gt;0,AND($G26&lt;&gt;"Custom Vehicle",$CZ26="Weight Distance (e.g. Freight Transport)")),$DA26*$AJ26*$AS26*$AT26*1000,
AND(AJ26&gt;0,AND($G26&lt;&gt;"Custom Vehicle",$CZ26="Passenger Distance (e.g. Public Transport)")), $DA26*$AJ26*$AS26*$AT26*1000),"")</f>
        <v/>
      </c>
      <c r="U26" s="78" t="str">
        <f t="shared" ca="1" si="47"/>
        <v/>
      </c>
      <c r="V26" s="161" t="str" cm="1">
        <f t="array" aca="1" ref="V26" ca="1">IFERROR(_xlfn.IFS(
AND(AD26&gt;0,OR($CZ26="Fuel Use",$CZ26="Custom Fuel",$CZ26="Fuel Use and Vehicle Distance")),($N26*$AD26*$AO26*$AP26),
AND(AD26&gt;0,$G26="Custom Vehicle"),$DA26*$AD26*$AO26*$AP26,
AND(AD26&gt;0,$CZ26="Vehicle Distance (e.g. Public or Freight Transport)"),$I26*$AD26*$AM26*$AN26,
AND(AD26&gt;0,$CZ26="Weight Distance (e.g. Freight Transport)"),($I26*$K26*$AD26*$AO26*$AP26),
AND(AD26&gt;0,$CZ26="Passenger Distance (e.g. Public Transport)"),$I26*$L26*$AD26*$AO26*$AP26,
AND(AD26&gt;0,$CZ26="Vehicle Distance (e.g. Road Transport)"),($I26*$AD26*$AO26*$AP26)),"")</f>
        <v/>
      </c>
      <c r="W26" s="164" t="str" cm="1">
        <f t="array" aca="1" ref="W26" ca="1">IFERROR(_xlfn.IFS(AND(ISNUMBER(R26),AA26=0),AA26&amp;" "&amp;"("&amp;AB26&amp;" CO2/"&amp;AC26&amp;")",AND(ISNUMBER(R26),AA26&gt;0),ROUND(AA26,INT(3-LOG(AA26)))&amp;" "&amp;"("&amp;AB26&amp;" CO2/"&amp;AC26&amp;")"),"")</f>
        <v/>
      </c>
      <c r="X26" s="164" t="str" cm="1">
        <f t="array" aca="1" ref="X26" ca="1">IFERROR(_xlfn.IFS(AND(ISNUMBER(S26), AG26=0),AG26&amp;" "&amp;"("&amp;AH26&amp;" CH4/"&amp;AI26&amp;")",AND(ISNUMBER(S26), AG26&gt;0),ROUND(AG26,INT(3-LOG(AG26)))&amp;" "&amp;"("&amp;AH26&amp;" CH4/"&amp;AI26&amp;")"),"")</f>
        <v/>
      </c>
      <c r="Y26" s="164" t="str" cm="1">
        <f t="array" aca="1" ref="Y26" ca="1">IFERROR(_xlfn.IFS(AND(ISNUMBER(T26), AJ26=0),AJ26&amp;" "&amp;"("&amp;AK26&amp;" CH4/"&amp;AL26&amp;")",AND(ISNUMBER(T26), AJ26&gt;0),ROUND(AJ26,INT(3-LOG(AJ26)))&amp;" "&amp;"("&amp;AK26&amp;" N2O/"&amp;AL26&amp;")"),"")</f>
        <v/>
      </c>
      <c r="Z26" s="245" t="str" cm="1">
        <f t="array" aca="1" ref="Z26" ca="1">IFERROR(_xlfn.IFS(AND(ISNUMBER(V26),AD26=0),AD26&amp;" "&amp;"("&amp;AE26&amp;" CO2/"&amp;AF26&amp;")",AND(ISNUMBER(V26),AD26&gt;0),ROUND(AD26,INT(3-LOG(AD26)))&amp;" "&amp;"("&amp;AE26&amp;" CO2/"&amp;AF26&amp;")"),"")</f>
        <v/>
      </c>
      <c r="AA26" s="240" t="str" cm="1">
        <f t="array" aca="1" ref="AA26" ca="1">IFERROR(_xlfn.IFS(
OR($G26="Fuel Use",$G26="Fuel Use and Vehicle Distance"),VLOOKUP($M26,INDIRECT("Ref_EF_ByFuel"&amp;"_"&amp;$C26),3,0),
$G26="Vehicle Distance (e.g. Road Transport)",VLOOKUP($H26,INDIRECT("Ref_EF_Vehicle_Distance"&amp;"_"&amp;$C26),3,0),
$G26="Vehicle Distance (e.g. Public or Freight Transport)",VLOOKUP($H26,INDIRECT("Ref_EF_Vehicle_Distance_S3"&amp;"_"&amp;$C26),3,0),
$G26="Custom Vehicle",VLOOKUP($H26,Tbl_vehical_Settings,2,0),
$G26="Custom Fuel",VLOOKUP($M26,Tbl_Fuel_Settings,2,0),
$G26="Weight Distance (e.g. Freight Transport)",VLOOKUP($H26,INDIRECT("Ref_EF_Weight_Distance"&amp;"_"&amp;$C26),3,0),
$G26="Passenger Distance (e.g. Public Transport)",VLOOKUP($H26,INDIRECT("Ref_EF_Public_Transport"&amp;"_"&amp;$C26),3,0)),"")</f>
        <v/>
      </c>
      <c r="AB26" s="31" t="str" cm="1">
        <f t="array" aca="1" ref="AB26" ca="1">IFERROR(_xlfn.IFS(
OR($G26="Fuel Use",$G26="Fuel Use and Vehicle Distance"),VLOOKUP($M26,INDIRECT("Ref_EF_ByFuel"&amp;"_"&amp;$C26),5,0),
$G26="Vehicle Distance (e.g. Road Transport)",VLOOKUP($H26,INDIRECT("Ref_EF_Vehicle_Distance"&amp;"_"&amp;$C26),5,0),
$G26="Vehicle Distance (e.g. Public or Freight Transport)",VLOOKUP($H26,INDIRECT("Ref_EF_Vehicle_Distance_S3"&amp;"_"&amp;$C26),5,0),
$G26="Custom Vehicle",VLOOKUP($H26,Tbl_vehical_Settings,6,0),
$G26="Custom Fuel",VLOOKUP($M26,Tbl_Fuel_Settings,6,0),
$G26="Weight Distance (e.g. Freight Transport)",VLOOKUP($H26,INDIRECT("Ref_EF_Weight_Distance"&amp;"_"&amp;$C26),5,0),
$G26="Passenger Distance (e.g. Public Transport)",VLOOKUP($H26,INDIRECT("Ref_EF_Public_Transport"&amp;"_"&amp;$C26),5,0)),"")</f>
        <v/>
      </c>
      <c r="AC26" s="31" t="str" cm="1">
        <f t="array" aca="1" ref="AC26" ca="1">IFERROR(_xlfn.IFS(
OR($G26="Fuel Use",$G26="Fuel Use and Vehicle Distance"),VLOOKUP($M26,INDIRECT("Ref_EF_ByFuel"&amp;"_"&amp;$C26),6,0),
$G26="Vehicle Distance (e.g. Road Transport)",VLOOKUP($H26,INDIRECT("Ref_EF_Vehicle_Distance"&amp;"_"&amp;$C26),6,0),
$G26="Vehicle Distance (e.g. Public or Freight Transport)",VLOOKUP($H26,INDIRECT("Ref_EF_Vehicle_Distance_S3"&amp;"_"&amp;$C26),6,0),
$G26="Custom Vehicle",VLOOKUP($H26,Tbl_vehical_Settings,7,0),
$G26="Custom Fuel",VLOOKUP($M26,Tbl_Fuel_Settings,7,0),
$G26="Weight Distance (e.g. Freight Transport)",VLOOKUP($H26,INDIRECT("Ref_EF_Weight_Distance"&amp;"_"&amp;$C26),6,0),
$G26="Passenger Distance (e.g. Public Transport)",VLOOKUP($H26,INDIRECT("Ref_EF_Public_Transport"&amp;"_"&amp;$C26),6,0)),"")</f>
        <v/>
      </c>
      <c r="AD26" s="31" t="str" cm="1">
        <f t="array" aca="1" ref="AD26" ca="1">IFERROR(_xlfn.IFS(
OR($G26="Fuel Use",$G26="Fuel Use and Vehicle Distance"),VLOOKUP($M26,INDIRECT("Ref_EF_ByFuel"&amp;"_"&amp;$C26),4,0),
$G26="Vehicle Distance (e.g. Road Transport)",VLOOKUP($H26,INDIRECT("Ref_EF_Vehicle_Distance"&amp;"_"&amp;$C26),4,0),
$G26="Vehicle Distance (e.g. Public or Freight Transport)",VLOOKUP($H26,INDIRECT("Ref_EF_Vehicle_Distance_S3"&amp;"_"&amp;$C26),4,0),
$G26="Custom Vehicle",VLOOKUP($H26,Tbl_vehical_Settings,5,0),
$G26="Custom Fuel",VLOOKUP($M26,Tbl_Fuel_Settings,5,0),
$G26="Weight Distance (e.g. Freight Transport)",VLOOKUP($H26,INDIRECT("Ref_EF_Weight_Distance"&amp;"_"&amp;$C26),4,0),
$G26="Passenger Distance (e.g. Public Transport)",VLOOKUP($H26,INDIRECT("Ref_EF_Public_Transport"&amp;"_"&amp;$C26),4,0)),"")</f>
        <v/>
      </c>
      <c r="AE26" s="31" t="str" cm="1">
        <f t="array" aca="1" ref="AE26" ca="1">IFERROR(_xlfn.IFS(
OR($G26="Fuel Use",$G26="Fuel Use and Vehicle Distance"),VLOOKUP($M26,INDIRECT("Ref_EF_ByFuel"&amp;"_"&amp;$C26),5,0),
$G26="Vehicle Distance (e.g. Road Transport)",VLOOKUP($H26,INDIRECT("Ref_EF_Vehicle_Distance"&amp;"_"&amp;$C26),5,0),
$G26="Vehicle Distance (e.g. Public or Freight Transport)",VLOOKUP($H26,INDIRECT("Ref_EF_Vehicle_Distance_S3"&amp;"_"&amp;$C26),5,0),
$G26="Custom Vehicle",VLOOKUP($H26,Tbl_vehical_Settings,6,0),
$G26="Custom Fuel",VLOOKUP($M26,Tbl_Fuel_Settings,6,0),
$G26="Weight Distance (e.g. Freight Transport)",VLOOKUP($H26,INDIRECT("Ref_EF_Weight_Distance"&amp;"_"&amp;$C26),5,0),
$G26="Passenger Distance (e.g. Public Transport)",VLOOKUP($H26,INDIRECT("Ref_EF_Public_Transport"&amp;"_"&amp;$C26),5,0)),"")</f>
        <v/>
      </c>
      <c r="AF26" s="31" t="str" cm="1">
        <f t="array" aca="1" ref="AF26" ca="1">IFERROR(_xlfn.IFS(
OR($G26="Fuel Use",$G26="Fuel Use and Vehicle Distance"),VLOOKUP($M26,INDIRECT("Ref_EF_ByFuel"&amp;"_"&amp;$C26),6,0),
$G26="Vehicle Distance (e.g. Road Transport)",VLOOKUP($H26,INDIRECT("Ref_EF_Vehicle_Distance"&amp;"_"&amp;$C26),6,0),
$G26="Vehicle Distance (e.g. Public or Freight Transport)",VLOOKUP($H26,INDIRECT("Ref_EF_Vehicle_Distance_S3"&amp;"_"&amp;$C26),6,0),
$G26="Custom Vehicle",VLOOKUP($H26,Tbl_vehical_Settings,7,0),
$G26="Custom Fuel",VLOOKUP($M26,Tbl_Fuel_Settings,7,0),
$G26="Weight Distance (e.g. Freight Transport)",VLOOKUP($H26,INDIRECT("Ref_EF_Weight_Distance"&amp;"_"&amp;$C26),6,0),
$G26="Passenger Distance (e.g. Public Transport)",VLOOKUP($H26,INDIRECT("Ref_EF_Public_Transport"&amp;"_"&amp;$C26),6,0)),"")</f>
        <v/>
      </c>
      <c r="AG26" s="31" t="str" cm="1">
        <f t="array" aca="1" ref="AG26" ca="1">IFERROR(_xlfn.IFS(
AND($G26="Fuel Use",$E26&lt;&gt;"Road"),VLOOKUP($H26,INDIRECT("Ref_EF_ByFuel_CH4"&amp;"_"&amp;$C26),3,0),
$G26="Vehicle Distance (e.g. Road Transport)",VLOOKUP($H26,INDIRECT("Ref_EF_Vehicle_Distance"&amp;"_"&amp;$C26),7,0),
$G26="Vehicle Distance (e.g. Public or Freight Transport)",VLOOKUP($H26,INDIRECT("Ref_EF_Vehicle_Distance_S3"&amp;"_"&amp;$C26),7,0),
$G26="Fuel Use and Vehicle Distance",VLOOKUP($H26,INDIRECT("Ref_EF_Fuel_Vehicle_Distance"&amp;"_"&amp;$C26),3,0),
$G26="Custom Vehicle",VLOOKUP($H26,Tbl_vehical_Settings,3,0),
$G26="Custom Fuel",VLOOKUP($M26,Tbl_Fuel_Settings,3,0),
$G26="Weight Distance (e.g. Freight Transport)",VLOOKUP($H26,INDIRECT("Ref_EF_Weight_Distance_CH4"&amp;"_"&amp;$C26),3,0),
$G26="Passenger Distance (e.g. Public Transport)",VLOOKUP($H26,INDIRECT("Ref_EF_Public_Transport_CH4"&amp;"_"&amp;$C26),7,0)),"")</f>
        <v/>
      </c>
      <c r="AH26" s="31" t="str" cm="1">
        <f t="array" aca="1" ref="AH26" ca="1">IFERROR(_xlfn.IFS(
AND($G26="Fuel Use",$E26&lt;&gt;"Road"),VLOOKUP($H26,INDIRECT("Ref_EF_ByFuel_CH4"&amp;"_"&amp;$C26),4,0),
$G26="Vehicle Distance (e.g. Road Transport)",VLOOKUP($H26,INDIRECT("Ref_EF_Vehicle_Distance"&amp;"_"&amp;$C26),8,0),
$G26="Vehicle Distance (e.g. Public or Freight Transport)",VLOOKUP($H26,INDIRECT("Ref_EF_Vehicle_Distance_S3"&amp;"_"&amp;$C26),8,0),
$G26="Fuel Use and Vehicle Distance",VLOOKUP($H26,INDIRECT("Ref_EF_Fuel_Vehicle_Distance"&amp;"_"&amp;$C26),4,0),
$G26="Custom Vehicle",VLOOKUP($H26,Tbl_vehical_Settings,6,0),
$G26="Custom Fuel",VLOOKUP($M26,Tbl_Fuel_Settings,6,0),
$G26="Weight Distance (e.g. Freight Transport)",VLOOKUP($H26,INDIRECT("Ref_EF_Weight_Distance_CH4"&amp;"_"&amp;$C26),4,0),
$G26="Passenger Distance (e.g. Public Transport)",VLOOKUP($H26,INDIRECT("Ref_EF_Public_Transport_CH4"&amp;"_"&amp;$C26),8,0)),"")</f>
        <v/>
      </c>
      <c r="AI26" s="31" t="str" cm="1">
        <f t="array" aca="1" ref="AI26" ca="1">IFERROR(_xlfn.IFS(
AND($G26="Fuel Use",$E26&lt;&gt;"Road"),VLOOKUP($H26,INDIRECT("Ref_EF_ByFuel_CH4"&amp;"_"&amp;$C26),5,0),
$G26="Vehicle Distance (e.g. Road Transport)",VLOOKUP($H26,INDIRECT("Ref_EF_Vehicle_Distance"&amp;"_"&amp;$C26),9,0),
$G26="Vehicle Distance (e.g. Public or Freight Transport)",VLOOKUP($H26,INDIRECT("Ref_EF_Vehicle_Distance_S3"&amp;"_"&amp;$C26),9,0),
$G26="Fuel Use and Vehicle Distance",VLOOKUP($H26,INDIRECT("Ref_EF_Fuel_Vehicle_Distance"&amp;"_"&amp;$C26),5,0),
$G26="Custom Vehicle",VLOOKUP($H26,Tbl_vehical_Settings,7,0),
$G26="Custom Fuel",VLOOKUP($M26,Tbl_Fuel_Settings,7,0),
$G26="Weight Distance (e.g. Freight Transport)",VLOOKUP($H26,INDIRECT("Ref_EF_Weight_Distance_CH4"&amp;"_"&amp;$C26),5,0),
$G26="Passenger Distance (e.g. Public Transport)",VLOOKUP($H26,INDIRECT("Ref_EF_Public_Transport_CH4"&amp;"_"&amp;$C26),9,0)),"")</f>
        <v/>
      </c>
      <c r="AJ26" s="31" t="str" cm="1">
        <f t="array" aca="1" ref="AJ26" ca="1">IFERROR(_xlfn.IFS(
AND($G26="Fuel Use",$E26&lt;&gt;"Road"),VLOOKUP($H26,INDIRECT("Ref_EF_ByFuel_CH4"&amp;"_"&amp;$C26),6,0),
$G26="Vehicle Distance (e.g. Road Transport)",VLOOKUP($H26,INDIRECT("Ref_EF_Vehicle_Distance"&amp;"_"&amp;$C26),10,0),
$G26="Vehicle Distance (e.g. Public or Freight Transport)",VLOOKUP($H26,INDIRECT("Ref_EF_Vehicle_Distance_S3"&amp;"_"&amp;$C26),10,0),
$G26="Fuel Use and Vehicle Distance",VLOOKUP($H26,INDIRECT("Ref_EF_Fuel_Vehicle_Distance"&amp;"_"&amp;$C26),6,0),
$G26="Custom Vehicle",VLOOKUP($H26,Tbl_vehical_Settings,4,0),
$G26="Custom Fuel",VLOOKUP($M26,Tbl_Fuel_Settings,4,0),
$G26="Weight Distance (e.g. Freight Transport)",VLOOKUP($H26,INDIRECT("Ref_EF_Weight_Distance_CH4"&amp;"_"&amp;$C26),6,0),
$G26="Passenger Distance (e.g. Public Transport)",VLOOKUP($H26,INDIRECT("Ref_EF_Public_Transport_CH4"&amp;"_"&amp;$C26),10,0)),"")</f>
        <v/>
      </c>
      <c r="AK26" s="31" t="str" cm="1">
        <f t="array" aca="1" ref="AK26" ca="1">IFERROR(_xlfn.IFS(
AND($G26="Fuel Use",$E26&lt;&gt;"Road"),VLOOKUP($H26,INDIRECT("Ref_EF_ByFuel_CH4"&amp;"_"&amp;$C26),7,0),
$G26="Vehicle Distance (e.g. Road Transport)",VLOOKUP($H26,INDIRECT("Ref_EF_Vehicle_Distance"&amp;"_"&amp;$C26),11,0),
$G26="Vehicle Distance (e.g. Public or Freight Transport)",VLOOKUP($H26,INDIRECT("Ref_EF_Vehicle_Distance_S3"&amp;"_"&amp;$C26),11,0),
$G26="Fuel Use and Vehicle Distance",VLOOKUP($H26,INDIRECT("Ref_EF_Fuel_Vehicle_Distance"&amp;"_"&amp;$C26),7,0),
$G26="Custom Vehicle",VLOOKUP($H26,Tbl_vehical_Settings,6,0),
$G26="Custom Fuel",VLOOKUP($M26,Tbl_Fuel_Settings,6,0),
$G26="Weight Distance (e.g. Freight Transport)",VLOOKUP($H26,INDIRECT("Ref_EF_Weight_Distance_CH4"&amp;"_"&amp;$C26),7,0),
$G26="Passenger Distance (e.g. Public Transport)",VLOOKUP($H26,INDIRECT("Ref_EF_Public_Transport_CH4"&amp;"_"&amp;$C26),11,0)),"")</f>
        <v/>
      </c>
      <c r="AL26" s="31" t="str" cm="1">
        <f t="array" aca="1" ref="AL26" ca="1">IFERROR(_xlfn.IFS(
AND($G26="Fuel Use",$E26&lt;&gt;"Road"),VLOOKUP($H26,INDIRECT("Ref_EF_ByFuel_CH4"&amp;"_"&amp;$C26),8,0),
$G26="Vehicle Distance (e.g. Road Transport)",VLOOKUP($H26,INDIRECT("Ref_EF_Vehicle_Distance"&amp;"_"&amp;$C26),12,0),
$G26="Vehicle Distance (e.g. Public or Freight Transport)",VLOOKUP($H26,INDIRECT("Ref_EF_Vehicle_Distance_S3"&amp;"_"&amp;$C26),12,0),
$G26="Fuel Use and Vehicle Distance",VLOOKUP($H26,INDIRECT("Ref_EF_Fuel_Vehicle_Distance"&amp;"_"&amp;$C26),8,0),
$G26="Custom Vehicle",VLOOKUP($H26,Tbl_vehical_Settings,7,0),
$G26="Custom Fuel",VLOOKUP($M26,Tbl_Fuel_Settings,7,0),
$G26="Weight Distance (e.g. Freight Transport)",VLOOKUP($H26,INDIRECT("Ref_EF_Weight_Distance_CH4"&amp;"_"&amp;$C26),8,0),
$G26="Passenger Distance (e.g. Public Transport)",VLOOKUP($H26,INDIRECT("Ref_EF_Public_Transport_CH4"&amp;"_"&amp;$C26),12,0)),"")</f>
        <v/>
      </c>
      <c r="AM26" s="31" t="e">
        <f ca="1">INDEX(Ref_Master_Unit_Table,MATCH($AB26,REF_To_Unit,0),MATCH('Reference - Lookup and Unit'!$A$11,Ref_From_Units,0))</f>
        <v>#N/A</v>
      </c>
      <c r="AN26" s="31" t="e">
        <f t="shared" ca="1" si="0"/>
        <v>#N/A</v>
      </c>
      <c r="AO26" s="31" t="e">
        <f ca="1">INDEX(Ref_Master_Unit_Table,MATCH($AE26,REF_To_Unit,0),MATCH('Reference - Lookup and Unit'!$A$11,Ref_From_Units,0))</f>
        <v>#N/A</v>
      </c>
      <c r="AP26" s="31" t="e">
        <f t="shared" ca="1" si="59"/>
        <v>#N/A</v>
      </c>
      <c r="AQ26" s="31" t="e">
        <f ca="1">INDEX(Ref_Master_Unit_Table,MATCH($AH26,REF_To_Unit,0),MATCH('Reference - Lookup and Unit'!$A$11,Ref_From_Units,0))</f>
        <v>#N/A</v>
      </c>
      <c r="AR26" s="31" t="e">
        <f t="shared" ca="1" si="60"/>
        <v>#N/A</v>
      </c>
      <c r="AS26" s="31" t="e">
        <f ca="1">INDEX(Ref_Master_Unit_Table,MATCH($AK26,REF_To_Unit,0),MATCH('Reference - Lookup and Unit'!$A$11,Ref_From_Units,0))</f>
        <v>#N/A</v>
      </c>
      <c r="AT26" s="31" t="e">
        <f t="shared" ca="1" si="61"/>
        <v>#N/A</v>
      </c>
      <c r="AU26" s="31" t="e" cm="1">
        <f t="array" aca="1" ref="AU26"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26" s="31">
        <f t="shared" ca="1" si="48"/>
        <v>27.9</v>
      </c>
      <c r="AW26" s="31">
        <f t="shared" ca="1" si="49"/>
        <v>273</v>
      </c>
      <c r="AX26" s="31" t="e" cm="1">
        <f t="array" aca="1" ref="AX26"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26" s="25" t="e" cm="1">
        <f t="array" ref="AY26">_xlfn.IFS(
AND($E26&lt;&gt;"",$G26="Custom Fuel"),("Settings_Custom_Fuels"),
AND($E26&lt;&gt;"",$G26="Custom vehicle"),("Settings_Custom_Vehicle"),
AND($E26&lt;&gt;"",$G26="Fuel Use"),("Ref_DD_vehicle_FuelUse"&amp;"_"&amp;C26&amp;"_"&amp;E26),
AND($E26&lt;&gt;"",$G26="Fuel Use and Vehicle Distance"),("Ref_DD_Fuel_VehicleDistance"&amp;"_"&amp;C26&amp;"_"&amp;E26),
AND($E26&lt;&gt;"",$G26="Vehicle Distance (e.g. Road Transport)"),("Ref_DD_vehicle_VehicleDistance"&amp;"_"&amp;C26&amp;"_"&amp;E26),
AND($E26&lt;&gt;"",$G26="Weight Distance (e.g. Freight Transport)"),("Ref_DD_vehicle_WeightDistance"&amp;"_"&amp;C26&amp;"_"&amp;E26),
AND($E26&lt;&gt;"",$G26="Vehicle Distance (e.g. Public or Freight Transport)"),("Ref_DD_vehicle_DistanceS3"&amp;"_"&amp;C26),
AND($E26&lt;&gt;"",$G26="Passenger Distance (e.g. Public Transport)"),("Ref_DD_vehicle_Passenger"&amp;"_"&amp;C26&amp;"_"&amp;E26),
AND($E26="",$G26="Fuel Use"),("Ref_DD_vehicle_FuelUse"&amp;"_"&amp;C26),
AND($E26="",OR($G26="Vehicle Distance (e.g. Road Transport)",$G26="Fuel Use and Vehicle Distance")),("Ref_DD_vehicle_VehicleDistance"&amp;"_"&amp;C26),
AND($E26="",$G26="Weight Distance (e.g. Freight Transport)"),("Ref_DD_vehicle_WeightDistance"&amp;"_"&amp;C26),
AND($E26="",$G26="Vehicle Distance (e.g. Public or Freight Transport)"),("Ref_DD_vehicle_DistanceS3"&amp;"_"&amp;C26),
AND($E26="",$G26="Passenger Distance (e.g. Public Transport)"),("Ref_DD_vehicle_Passenger"&amp;"_"&amp;C26))</f>
        <v>#N/A</v>
      </c>
      <c r="AZ26" s="25" t="b">
        <f t="shared" ca="1" si="4"/>
        <v>0</v>
      </c>
      <c r="BA26" s="25" t="str">
        <f t="shared" si="5"/>
        <v/>
      </c>
      <c r="BB26" s="25" t="str">
        <f t="shared" si="6"/>
        <v/>
      </c>
      <c r="BC26" s="25" t="str">
        <f t="shared" si="50"/>
        <v/>
      </c>
      <c r="BD26" s="25" t="str">
        <f t="shared" si="51"/>
        <v/>
      </c>
      <c r="BE26" s="25" t="str">
        <f t="shared" si="52"/>
        <v/>
      </c>
      <c r="BF26" s="25" t="str">
        <f t="shared" si="53"/>
        <v/>
      </c>
      <c r="BG26" s="25" t="str">
        <f t="shared" si="7"/>
        <v/>
      </c>
      <c r="BH26" s="25" t="str">
        <f t="shared" si="8"/>
        <v/>
      </c>
      <c r="BI26" s="25" t="str">
        <f t="shared" si="54"/>
        <v/>
      </c>
      <c r="BJ26" s="25" t="str">
        <f t="shared" si="55"/>
        <v/>
      </c>
      <c r="BK26" s="25" t="str">
        <f t="shared" si="56"/>
        <v/>
      </c>
      <c r="BL26" s="25" t="str">
        <f t="shared" si="57"/>
        <v/>
      </c>
      <c r="BM26" s="25" t="str">
        <f t="shared" si="9"/>
        <v/>
      </c>
      <c r="BN26" s="25" t="str">
        <f t="shared" ca="1" si="10"/>
        <v/>
      </c>
      <c r="BO26" s="25" t="str">
        <f t="shared" si="11"/>
        <v/>
      </c>
      <c r="BP26" s="25" t="str">
        <f t="shared" si="12"/>
        <v/>
      </c>
      <c r="BQ26" s="25" t="str">
        <f t="shared" si="13"/>
        <v/>
      </c>
      <c r="BR26" s="25" t="str">
        <f t="shared" si="14"/>
        <v/>
      </c>
      <c r="BS26" s="25" t="str">
        <f t="shared" si="15"/>
        <v/>
      </c>
      <c r="BT26" s="25" t="str">
        <f t="shared" si="16"/>
        <v/>
      </c>
      <c r="BU26" s="25" t="str">
        <f t="shared" si="17"/>
        <v/>
      </c>
      <c r="BV26" s="25" t="str">
        <f t="shared" si="18"/>
        <v/>
      </c>
      <c r="BW26" s="25" t="str">
        <f t="shared" si="19"/>
        <v/>
      </c>
      <c r="BX26" s="25" t="str">
        <f t="shared" si="20"/>
        <v/>
      </c>
      <c r="BY26" s="25" t="str">
        <f t="shared" si="21"/>
        <v/>
      </c>
      <c r="BZ26" s="25" t="str">
        <f t="shared" si="22"/>
        <v/>
      </c>
      <c r="CA26" s="25" t="str">
        <f t="shared" si="23"/>
        <v/>
      </c>
      <c r="CB26" s="25" t="str">
        <f t="shared" si="24"/>
        <v/>
      </c>
      <c r="CC26" s="25" t="str">
        <f t="shared" si="25"/>
        <v/>
      </c>
      <c r="CD26" s="25" t="str">
        <f t="shared" si="26"/>
        <v/>
      </c>
      <c r="CE26" s="25" t="str">
        <f t="shared" si="27"/>
        <v/>
      </c>
      <c r="CF26" s="25" t="str">
        <f t="shared" si="28"/>
        <v/>
      </c>
      <c r="CG26" s="25" t="str">
        <f t="shared" si="29"/>
        <v/>
      </c>
      <c r="CH26" s="25" t="str">
        <f t="shared" si="30"/>
        <v/>
      </c>
      <c r="CI26" s="25" t="str">
        <f t="shared" si="31"/>
        <v/>
      </c>
      <c r="CJ26" s="25" t="str">
        <f t="shared" si="32"/>
        <v/>
      </c>
      <c r="CK26" s="25" t="str">
        <f t="shared" si="33"/>
        <v/>
      </c>
      <c r="CL26" s="25" t="str">
        <f t="shared" si="34"/>
        <v/>
      </c>
      <c r="CM26" s="25" t="str">
        <f t="shared" si="35"/>
        <v/>
      </c>
      <c r="CN26" s="25" t="str">
        <f t="shared" si="36"/>
        <v/>
      </c>
      <c r="CO26" s="25" t="str">
        <f t="shared" si="37"/>
        <v/>
      </c>
      <c r="CP26" s="25" t="str">
        <f t="shared" si="38"/>
        <v/>
      </c>
      <c r="CQ26" s="25" t="str">
        <f t="shared" si="39"/>
        <v/>
      </c>
      <c r="CR26" s="25" t="str">
        <f t="shared" si="40"/>
        <v/>
      </c>
      <c r="CS26" s="25" t="str">
        <f t="shared" si="41"/>
        <v/>
      </c>
      <c r="CT26" s="25" t="str">
        <f t="shared" si="42"/>
        <v/>
      </c>
      <c r="CU26" s="25" t="str">
        <f t="shared" si="43"/>
        <v/>
      </c>
      <c r="CV26" s="25" t="str">
        <f t="shared" si="44"/>
        <v/>
      </c>
      <c r="CW26" s="25" t="str">
        <f t="shared" si="45"/>
        <v/>
      </c>
      <c r="CX26" s="25" t="str" cm="1">
        <f t="array" ref="CX26">_xlfn.IFNA(_xlfn.IFS(
$G26="Weight Distance (e.g. Freight Transport)","Ref_DD_WeightDistanceUnits",
$G26="Passenger Distance (e.g. Public Transport)","Ref_DD_PasengerDistanceUnits",
$G26="Vehicle Distance (e.g. Road Transport)", "Ref_DD_DistanceUnit",
$G26="Vehicle Distance (e.g. Public or Freight Transport)","Ref_DD_DistanceUnit",
$G26="Fuel Use and Vehicle Distance", "Ref_DD_DistanceUnit",
$G26="Custom Vehicle",VLOOKUP($H26,'2. Settings'!$B$39:$I$54,8,FALSE)),"")</f>
        <v/>
      </c>
      <c r="CY26" s="27" t="str">
        <f ca="1">IF(AND(ISERROR(#REF!*$AU26)=TRUE,ISERROR((S26/1000)*$AV26)=TRUE,ISERROR((T26/1000)*$AW26)=FALSE),((T26/1000)*$AW26),"")</f>
        <v/>
      </c>
      <c r="CZ26" s="27" cm="1">
        <f t="array" ref="CZ26">IFERROR(_xlfn.IFS(
AND($G26="Custom vehicle",OR($J26="Passenger Mile",$J26="Passenger Kilometer")),"Passenger Distance (e.g. Public Transport)",
AND($G26="Custom vehicle",OR($J26="Tonne Mile",$J26="Tonne Kilometer",$J26="Short Ton Kilometer",$J26="Short Ton Mile")),"Weight Distance (e.g. Freight Transport)",
AND($G26="Custom vehicle",OR($J26="Mile",$J26="Kilometer")),"Vehicle Distance (e.g. Road Transport)",
$G26&lt;&gt;"Custom vehicle",$G26),"")</f>
        <v>0</v>
      </c>
      <c r="DA26" s="27" t="str" cm="1">
        <f t="array" ref="DA26">IFERROR(_xlfn.IFS(OR(J26="Tonne Kilometer",J26="Tonne Mile",J26="Short Ton Mile",J26="Short Ton Kilometer"),I26*K26,OR(J26="Passenger Kilometer",J26="Passenger Mile"),I26*L26,OR(J26="Kilometer",J26="Mile"),$I26),"")</f>
        <v/>
      </c>
    </row>
    <row r="27" spans="2:105" x14ac:dyDescent="0.25">
      <c r="B27" s="244"/>
      <c r="C27" s="71" t="str" cm="1">
        <f t="array" ref="C27">IFERROR(_xlfn.IFS($D27="Other", D27&amp;"_" &amp;Ref_Other_to,OR($D27="UK", $D27="US"),$D27),"")</f>
        <v/>
      </c>
      <c r="D27" s="71"/>
      <c r="E27" s="71"/>
      <c r="F27" s="71"/>
      <c r="G27" s="72"/>
      <c r="H27" s="72"/>
      <c r="I27" s="73"/>
      <c r="J27" s="73"/>
      <c r="K27" s="73"/>
      <c r="L27" s="73"/>
      <c r="M27" s="74"/>
      <c r="N27" s="75"/>
      <c r="O27" s="71"/>
      <c r="P27" s="165" t="str">
        <f t="shared" si="58"/>
        <v/>
      </c>
      <c r="Q27" s="166" t="str">
        <f t="shared" si="46"/>
        <v/>
      </c>
      <c r="R27" s="76" t="str" cm="1">
        <f t="array" aca="1" ref="R27" ca="1">IFERROR(_xlfn.IFS(
AND(AA27&gt;0, OR($G27="Fuel Use",$G27="Custom Fuel")),$N27*$AA27*$AM27*$AN27,
AND(AA27&gt;0,$CZ27="Vehicle Distance (e.g. Road Transport)"),$I27*$AA27*$AM27*$AN27,
AND(AA27&gt;0,$CZ27="Vehicle Distance (e.g. Public or Freight Transport)"),$I27*$AA27*$AM27*$AN27,
AND(AA27&gt;0,$CZ27="Fuel Use and Vehicle Distance"),$N27*$AA27*$AM27*$AN27,
AND(AA27&gt;0,$CZ27="Passenger Distance (e.g. Public Transport)"),$DA27*$AA27*$AM27*$AN27,
AND(AA27&gt;0,$CZ27="Weight Distance (e.g. Freight Transport)"),$DA27*$AA27*$AM27*$AN27),"")</f>
        <v/>
      </c>
      <c r="S27" s="77" t="str" cm="1">
        <f t="array" aca="1" ref="S27" ca="1">IFERROR(_xlfn.IFS(
AND(AG27&gt;-1, $G27="Fuel Use and Vehicle Distance"),$I27*$AG27*$AQ27*$AR27,
AND(AG27&gt;-1, $G27="Vehicle Distance (e.g. Road Transport)"),$I27*$AG27*$AQ27*$AR27,
AND(AG27&gt;-1, $CZ27="Vehicle Distance (e.g. Public or Freight Transport)"),$I27*$AG27*$AQ27*$AR27,
AND(AG27&gt;-1, OR($G27="Fuel Use",$G27="Custom Fuel")), $N27*$AG27*$AQ27*$AR27*1000,
AND(AG27&gt;-1, $G27="Custom Vehicle"),$DA27*$AG27*$AQ27*$AR27*1000,
AND(AG27&gt;-1, AND($G27&lt;&gt;"Custom Vehicle",$CZ27="Weight Distance (e.g. Freight Transport)")),$DA27*$AG27*$AQ27*$AR27*1000,
AND(AG27&gt;-1, AND($G27&lt;&gt;"Custom Vehicle",$CZ27="Passenger Distance (e.g. Public Transport)")), $DA27*$AG27*$AQ27*$AR27*1000),"")</f>
        <v/>
      </c>
      <c r="T27" s="77" t="str" cm="1">
        <f t="array" aca="1" ref="T27" ca="1">IFERROR(_xlfn.IFS(
AND(AJ27&gt;0,$G27="Fuel Use and Vehicle Distance"),$I27*$AJ27*$AS27*$AT27,
AND(AJ27&gt;0,$G27="Vehicle Distance (e.g. Road Transport)"),$I27*$AJ27*$AS27*$AT27,
AND(AJ27&gt;0,$G27="Vehicle Distance (e.g. Public or Freight Transport)"),$I27*$AJ27*$AS27*$AT27,
AND(AJ27&gt;0,OR($G27="Fuel Use",$G27="Custom Fuel")), $N27*$AJ27*$AS27*$AT27*1000,
AND(AJ27&gt;0,$G27="Custom Vehicle"),$DA27*$AJ27*$AS27*$AT27*1000,
AND(AJ27&gt;0,AND($G27&lt;&gt;"Custom Vehicle",$CZ27="Weight Distance (e.g. Freight Transport)")),$DA27*$AJ27*$AS27*$AT27*1000,
AND(AJ27&gt;0,AND($G27&lt;&gt;"Custom Vehicle",$CZ27="Passenger Distance (e.g. Public Transport)")), $DA27*$AJ27*$AS27*$AT27*1000),"")</f>
        <v/>
      </c>
      <c r="U27" s="78" t="str">
        <f t="shared" ca="1" si="47"/>
        <v/>
      </c>
      <c r="V27" s="161" t="str" cm="1">
        <f t="array" aca="1" ref="V27" ca="1">IFERROR(_xlfn.IFS(
AND(AD27&gt;0,OR($CZ27="Fuel Use",$CZ27="Custom Fuel",$CZ27="Fuel Use and Vehicle Distance")),($N27*$AD27*$AO27*$AP27),
AND(AD27&gt;0,$G27="Custom Vehicle"),$DA27*$AD27*$AO27*$AP27,
AND(AD27&gt;0,$CZ27="Vehicle Distance (e.g. Public or Freight Transport)"),$I27*$AD27*$AM27*$AN27,
AND(AD27&gt;0,$CZ27="Weight Distance (e.g. Freight Transport)"),($I27*$K27*$AD27*$AO27*$AP27),
AND(AD27&gt;0,$CZ27="Passenger Distance (e.g. Public Transport)"),$I27*$L27*$AD27*$AO27*$AP27,
AND(AD27&gt;0,$CZ27="Vehicle Distance (e.g. Road Transport)"),($I27*$AD27*$AO27*$AP27)),"")</f>
        <v/>
      </c>
      <c r="W27" s="164" t="str" cm="1">
        <f t="array" aca="1" ref="W27" ca="1">IFERROR(_xlfn.IFS(AND(ISNUMBER(R27),AA27=0),AA27&amp;" "&amp;"("&amp;AB27&amp;" CO2/"&amp;AC27&amp;")",AND(ISNUMBER(R27),AA27&gt;0),ROUND(AA27,INT(3-LOG(AA27)))&amp;" "&amp;"("&amp;AB27&amp;" CO2/"&amp;AC27&amp;")"),"")</f>
        <v/>
      </c>
      <c r="X27" s="164" t="str" cm="1">
        <f t="array" aca="1" ref="X27" ca="1">IFERROR(_xlfn.IFS(AND(ISNUMBER(S27), AG27=0),AG27&amp;" "&amp;"("&amp;AH27&amp;" CH4/"&amp;AI27&amp;")",AND(ISNUMBER(S27), AG27&gt;0),ROUND(AG27,INT(3-LOG(AG27)))&amp;" "&amp;"("&amp;AH27&amp;" CH4/"&amp;AI27&amp;")"),"")</f>
        <v/>
      </c>
      <c r="Y27" s="164" t="str" cm="1">
        <f t="array" aca="1" ref="Y27" ca="1">IFERROR(_xlfn.IFS(AND(ISNUMBER(T27), AJ27=0),AJ27&amp;" "&amp;"("&amp;AK27&amp;" CH4/"&amp;AL27&amp;")",AND(ISNUMBER(T27), AJ27&gt;0),ROUND(AJ27,INT(3-LOG(AJ27)))&amp;" "&amp;"("&amp;AK27&amp;" N2O/"&amp;AL27&amp;")"),"")</f>
        <v/>
      </c>
      <c r="Z27" s="245" t="str" cm="1">
        <f t="array" aca="1" ref="Z27" ca="1">IFERROR(_xlfn.IFS(AND(ISNUMBER(V27),AD27=0),AD27&amp;" "&amp;"("&amp;AE27&amp;" CO2/"&amp;AF27&amp;")",AND(ISNUMBER(V27),AD27&gt;0),ROUND(AD27,INT(3-LOG(AD27)))&amp;" "&amp;"("&amp;AE27&amp;" CO2/"&amp;AF27&amp;")"),"")</f>
        <v/>
      </c>
      <c r="AA27" s="240" t="str" cm="1">
        <f t="array" aca="1" ref="AA27" ca="1">IFERROR(_xlfn.IFS(
OR($G27="Fuel Use",$G27="Fuel Use and Vehicle Distance"),VLOOKUP($M27,INDIRECT("Ref_EF_ByFuel"&amp;"_"&amp;$C27),3,0),
$G27="Vehicle Distance (e.g. Road Transport)",VLOOKUP($H27,INDIRECT("Ref_EF_Vehicle_Distance"&amp;"_"&amp;$C27),3,0),
$G27="Vehicle Distance (e.g. Public or Freight Transport)",VLOOKUP($H27,INDIRECT("Ref_EF_Vehicle_Distance_S3"&amp;"_"&amp;$C27),3,0),
$G27="Custom Vehicle",VLOOKUP($H27,Tbl_vehical_Settings,2,0),
$G27="Custom Fuel",VLOOKUP($M27,Tbl_Fuel_Settings,2,0),
$G27="Weight Distance (e.g. Freight Transport)",VLOOKUP($H27,INDIRECT("Ref_EF_Weight_Distance"&amp;"_"&amp;$C27),3,0),
$G27="Passenger Distance (e.g. Public Transport)",VLOOKUP($H27,INDIRECT("Ref_EF_Public_Transport"&amp;"_"&amp;$C27),3,0)),"")</f>
        <v/>
      </c>
      <c r="AB27" s="31" t="str" cm="1">
        <f t="array" aca="1" ref="AB27" ca="1">IFERROR(_xlfn.IFS(
OR($G27="Fuel Use",$G27="Fuel Use and Vehicle Distance"),VLOOKUP($M27,INDIRECT("Ref_EF_ByFuel"&amp;"_"&amp;$C27),5,0),
$G27="Vehicle Distance (e.g. Road Transport)",VLOOKUP($H27,INDIRECT("Ref_EF_Vehicle_Distance"&amp;"_"&amp;$C27),5,0),
$G27="Vehicle Distance (e.g. Public or Freight Transport)",VLOOKUP($H27,INDIRECT("Ref_EF_Vehicle_Distance_S3"&amp;"_"&amp;$C27),5,0),
$G27="Custom Vehicle",VLOOKUP($H27,Tbl_vehical_Settings,6,0),
$G27="Custom Fuel",VLOOKUP($M27,Tbl_Fuel_Settings,6,0),
$G27="Weight Distance (e.g. Freight Transport)",VLOOKUP($H27,INDIRECT("Ref_EF_Weight_Distance"&amp;"_"&amp;$C27),5,0),
$G27="Passenger Distance (e.g. Public Transport)",VLOOKUP($H27,INDIRECT("Ref_EF_Public_Transport"&amp;"_"&amp;$C27),5,0)),"")</f>
        <v/>
      </c>
      <c r="AC27" s="31" t="str" cm="1">
        <f t="array" aca="1" ref="AC27" ca="1">IFERROR(_xlfn.IFS(
OR($G27="Fuel Use",$G27="Fuel Use and Vehicle Distance"),VLOOKUP($M27,INDIRECT("Ref_EF_ByFuel"&amp;"_"&amp;$C27),6,0),
$G27="Vehicle Distance (e.g. Road Transport)",VLOOKUP($H27,INDIRECT("Ref_EF_Vehicle_Distance"&amp;"_"&amp;$C27),6,0),
$G27="Vehicle Distance (e.g. Public or Freight Transport)",VLOOKUP($H27,INDIRECT("Ref_EF_Vehicle_Distance_S3"&amp;"_"&amp;$C27),6,0),
$G27="Custom Vehicle",VLOOKUP($H27,Tbl_vehical_Settings,7,0),
$G27="Custom Fuel",VLOOKUP($M27,Tbl_Fuel_Settings,7,0),
$G27="Weight Distance (e.g. Freight Transport)",VLOOKUP($H27,INDIRECT("Ref_EF_Weight_Distance"&amp;"_"&amp;$C27),6,0),
$G27="Passenger Distance (e.g. Public Transport)",VLOOKUP($H27,INDIRECT("Ref_EF_Public_Transport"&amp;"_"&amp;$C27),6,0)),"")</f>
        <v/>
      </c>
      <c r="AD27" s="31" t="str" cm="1">
        <f t="array" aca="1" ref="AD27" ca="1">IFERROR(_xlfn.IFS(
OR($G27="Fuel Use",$G27="Fuel Use and Vehicle Distance"),VLOOKUP($M27,INDIRECT("Ref_EF_ByFuel"&amp;"_"&amp;$C27),4,0),
$G27="Vehicle Distance (e.g. Road Transport)",VLOOKUP($H27,INDIRECT("Ref_EF_Vehicle_Distance"&amp;"_"&amp;$C27),4,0),
$G27="Vehicle Distance (e.g. Public or Freight Transport)",VLOOKUP($H27,INDIRECT("Ref_EF_Vehicle_Distance_S3"&amp;"_"&amp;$C27),4,0),
$G27="Custom Vehicle",VLOOKUP($H27,Tbl_vehical_Settings,5,0),
$G27="Custom Fuel",VLOOKUP($M27,Tbl_Fuel_Settings,5,0),
$G27="Weight Distance (e.g. Freight Transport)",VLOOKUP($H27,INDIRECT("Ref_EF_Weight_Distance"&amp;"_"&amp;$C27),4,0),
$G27="Passenger Distance (e.g. Public Transport)",VLOOKUP($H27,INDIRECT("Ref_EF_Public_Transport"&amp;"_"&amp;$C27),4,0)),"")</f>
        <v/>
      </c>
      <c r="AE27" s="31" t="str" cm="1">
        <f t="array" aca="1" ref="AE27" ca="1">IFERROR(_xlfn.IFS(
OR($G27="Fuel Use",$G27="Fuel Use and Vehicle Distance"),VLOOKUP($M27,INDIRECT("Ref_EF_ByFuel"&amp;"_"&amp;$C27),5,0),
$G27="Vehicle Distance (e.g. Road Transport)",VLOOKUP($H27,INDIRECT("Ref_EF_Vehicle_Distance"&amp;"_"&amp;$C27),5,0),
$G27="Vehicle Distance (e.g. Public or Freight Transport)",VLOOKUP($H27,INDIRECT("Ref_EF_Vehicle_Distance_S3"&amp;"_"&amp;$C27),5,0),
$G27="Custom Vehicle",VLOOKUP($H27,Tbl_vehical_Settings,6,0),
$G27="Custom Fuel",VLOOKUP($M27,Tbl_Fuel_Settings,6,0),
$G27="Weight Distance (e.g. Freight Transport)",VLOOKUP($H27,INDIRECT("Ref_EF_Weight_Distance"&amp;"_"&amp;$C27),5,0),
$G27="Passenger Distance (e.g. Public Transport)",VLOOKUP($H27,INDIRECT("Ref_EF_Public_Transport"&amp;"_"&amp;$C27),5,0)),"")</f>
        <v/>
      </c>
      <c r="AF27" s="31" t="str" cm="1">
        <f t="array" aca="1" ref="AF27" ca="1">IFERROR(_xlfn.IFS(
OR($G27="Fuel Use",$G27="Fuel Use and Vehicle Distance"),VLOOKUP($M27,INDIRECT("Ref_EF_ByFuel"&amp;"_"&amp;$C27),6,0),
$G27="Vehicle Distance (e.g. Road Transport)",VLOOKUP($H27,INDIRECT("Ref_EF_Vehicle_Distance"&amp;"_"&amp;$C27),6,0),
$G27="Vehicle Distance (e.g. Public or Freight Transport)",VLOOKUP($H27,INDIRECT("Ref_EF_Vehicle_Distance_S3"&amp;"_"&amp;$C27),6,0),
$G27="Custom Vehicle",VLOOKUP($H27,Tbl_vehical_Settings,7,0),
$G27="Custom Fuel",VLOOKUP($M27,Tbl_Fuel_Settings,7,0),
$G27="Weight Distance (e.g. Freight Transport)",VLOOKUP($H27,INDIRECT("Ref_EF_Weight_Distance"&amp;"_"&amp;$C27),6,0),
$G27="Passenger Distance (e.g. Public Transport)",VLOOKUP($H27,INDIRECT("Ref_EF_Public_Transport"&amp;"_"&amp;$C27),6,0)),"")</f>
        <v/>
      </c>
      <c r="AG27" s="31" t="str" cm="1">
        <f t="array" aca="1" ref="AG27" ca="1">IFERROR(_xlfn.IFS(
AND($G27="Fuel Use",$E27&lt;&gt;"Road"),VLOOKUP($H27,INDIRECT("Ref_EF_ByFuel_CH4"&amp;"_"&amp;$C27),3,0),
$G27="Vehicle Distance (e.g. Road Transport)",VLOOKUP($H27,INDIRECT("Ref_EF_Vehicle_Distance"&amp;"_"&amp;$C27),7,0),
$G27="Vehicle Distance (e.g. Public or Freight Transport)",VLOOKUP($H27,INDIRECT("Ref_EF_Vehicle_Distance_S3"&amp;"_"&amp;$C27),7,0),
$G27="Fuel Use and Vehicle Distance",VLOOKUP($H27,INDIRECT("Ref_EF_Fuel_Vehicle_Distance"&amp;"_"&amp;$C27),3,0),
$G27="Custom Vehicle",VLOOKUP($H27,Tbl_vehical_Settings,3,0),
$G27="Custom Fuel",VLOOKUP($M27,Tbl_Fuel_Settings,3,0),
$G27="Weight Distance (e.g. Freight Transport)",VLOOKUP($H27,INDIRECT("Ref_EF_Weight_Distance_CH4"&amp;"_"&amp;$C27),3,0),
$G27="Passenger Distance (e.g. Public Transport)",VLOOKUP($H27,INDIRECT("Ref_EF_Public_Transport_CH4"&amp;"_"&amp;$C27),7,0)),"")</f>
        <v/>
      </c>
      <c r="AH27" s="31" t="str" cm="1">
        <f t="array" aca="1" ref="AH27" ca="1">IFERROR(_xlfn.IFS(
AND($G27="Fuel Use",$E27&lt;&gt;"Road"),VLOOKUP($H27,INDIRECT("Ref_EF_ByFuel_CH4"&amp;"_"&amp;$C27),4,0),
$G27="Vehicle Distance (e.g. Road Transport)",VLOOKUP($H27,INDIRECT("Ref_EF_Vehicle_Distance"&amp;"_"&amp;$C27),8,0),
$G27="Vehicle Distance (e.g. Public or Freight Transport)",VLOOKUP($H27,INDIRECT("Ref_EF_Vehicle_Distance_S3"&amp;"_"&amp;$C27),8,0),
$G27="Fuel Use and Vehicle Distance",VLOOKUP($H27,INDIRECT("Ref_EF_Fuel_Vehicle_Distance"&amp;"_"&amp;$C27),4,0),
$G27="Custom Vehicle",VLOOKUP($H27,Tbl_vehical_Settings,6,0),
$G27="Custom Fuel",VLOOKUP($M27,Tbl_Fuel_Settings,6,0),
$G27="Weight Distance (e.g. Freight Transport)",VLOOKUP($H27,INDIRECT("Ref_EF_Weight_Distance_CH4"&amp;"_"&amp;$C27),4,0),
$G27="Passenger Distance (e.g. Public Transport)",VLOOKUP($H27,INDIRECT("Ref_EF_Public_Transport_CH4"&amp;"_"&amp;$C27),8,0)),"")</f>
        <v/>
      </c>
      <c r="AI27" s="31" t="str" cm="1">
        <f t="array" aca="1" ref="AI27" ca="1">IFERROR(_xlfn.IFS(
AND($G27="Fuel Use",$E27&lt;&gt;"Road"),VLOOKUP($H27,INDIRECT("Ref_EF_ByFuel_CH4"&amp;"_"&amp;$C27),5,0),
$G27="Vehicle Distance (e.g. Road Transport)",VLOOKUP($H27,INDIRECT("Ref_EF_Vehicle_Distance"&amp;"_"&amp;$C27),9,0),
$G27="Vehicle Distance (e.g. Public or Freight Transport)",VLOOKUP($H27,INDIRECT("Ref_EF_Vehicle_Distance_S3"&amp;"_"&amp;$C27),9,0),
$G27="Fuel Use and Vehicle Distance",VLOOKUP($H27,INDIRECT("Ref_EF_Fuel_Vehicle_Distance"&amp;"_"&amp;$C27),5,0),
$G27="Custom Vehicle",VLOOKUP($H27,Tbl_vehical_Settings,7,0),
$G27="Custom Fuel",VLOOKUP($M27,Tbl_Fuel_Settings,7,0),
$G27="Weight Distance (e.g. Freight Transport)",VLOOKUP($H27,INDIRECT("Ref_EF_Weight_Distance_CH4"&amp;"_"&amp;$C27),5,0),
$G27="Passenger Distance (e.g. Public Transport)",VLOOKUP($H27,INDIRECT("Ref_EF_Public_Transport_CH4"&amp;"_"&amp;$C27),9,0)),"")</f>
        <v/>
      </c>
      <c r="AJ27" s="31" t="str" cm="1">
        <f t="array" aca="1" ref="AJ27" ca="1">IFERROR(_xlfn.IFS(
AND($G27="Fuel Use",$E27&lt;&gt;"Road"),VLOOKUP($H27,INDIRECT("Ref_EF_ByFuel_CH4"&amp;"_"&amp;$C27),6,0),
$G27="Vehicle Distance (e.g. Road Transport)",VLOOKUP($H27,INDIRECT("Ref_EF_Vehicle_Distance"&amp;"_"&amp;$C27),10,0),
$G27="Vehicle Distance (e.g. Public or Freight Transport)",VLOOKUP($H27,INDIRECT("Ref_EF_Vehicle_Distance_S3"&amp;"_"&amp;$C27),10,0),
$G27="Fuel Use and Vehicle Distance",VLOOKUP($H27,INDIRECT("Ref_EF_Fuel_Vehicle_Distance"&amp;"_"&amp;$C27),6,0),
$G27="Custom Vehicle",VLOOKUP($H27,Tbl_vehical_Settings,4,0),
$G27="Custom Fuel",VLOOKUP($M27,Tbl_Fuel_Settings,4,0),
$G27="Weight Distance (e.g. Freight Transport)",VLOOKUP($H27,INDIRECT("Ref_EF_Weight_Distance_CH4"&amp;"_"&amp;$C27),6,0),
$G27="Passenger Distance (e.g. Public Transport)",VLOOKUP($H27,INDIRECT("Ref_EF_Public_Transport_CH4"&amp;"_"&amp;$C27),10,0)),"")</f>
        <v/>
      </c>
      <c r="AK27" s="31" t="str" cm="1">
        <f t="array" aca="1" ref="AK27" ca="1">IFERROR(_xlfn.IFS(
AND($G27="Fuel Use",$E27&lt;&gt;"Road"),VLOOKUP($H27,INDIRECT("Ref_EF_ByFuel_CH4"&amp;"_"&amp;$C27),7,0),
$G27="Vehicle Distance (e.g. Road Transport)",VLOOKUP($H27,INDIRECT("Ref_EF_Vehicle_Distance"&amp;"_"&amp;$C27),11,0),
$G27="Vehicle Distance (e.g. Public or Freight Transport)",VLOOKUP($H27,INDIRECT("Ref_EF_Vehicle_Distance_S3"&amp;"_"&amp;$C27),11,0),
$G27="Fuel Use and Vehicle Distance",VLOOKUP($H27,INDIRECT("Ref_EF_Fuel_Vehicle_Distance"&amp;"_"&amp;$C27),7,0),
$G27="Custom Vehicle",VLOOKUP($H27,Tbl_vehical_Settings,6,0),
$G27="Custom Fuel",VLOOKUP($M27,Tbl_Fuel_Settings,6,0),
$G27="Weight Distance (e.g. Freight Transport)",VLOOKUP($H27,INDIRECT("Ref_EF_Weight_Distance_CH4"&amp;"_"&amp;$C27),7,0),
$G27="Passenger Distance (e.g. Public Transport)",VLOOKUP($H27,INDIRECT("Ref_EF_Public_Transport_CH4"&amp;"_"&amp;$C27),11,0)),"")</f>
        <v/>
      </c>
      <c r="AL27" s="31" t="str" cm="1">
        <f t="array" aca="1" ref="AL27" ca="1">IFERROR(_xlfn.IFS(
AND($G27="Fuel Use",$E27&lt;&gt;"Road"),VLOOKUP($H27,INDIRECT("Ref_EF_ByFuel_CH4"&amp;"_"&amp;$C27),8,0),
$G27="Vehicle Distance (e.g. Road Transport)",VLOOKUP($H27,INDIRECT("Ref_EF_Vehicle_Distance"&amp;"_"&amp;$C27),12,0),
$G27="Vehicle Distance (e.g. Public or Freight Transport)",VLOOKUP($H27,INDIRECT("Ref_EF_Vehicle_Distance_S3"&amp;"_"&amp;$C27),12,0),
$G27="Fuel Use and Vehicle Distance",VLOOKUP($H27,INDIRECT("Ref_EF_Fuel_Vehicle_Distance"&amp;"_"&amp;$C27),8,0),
$G27="Custom Vehicle",VLOOKUP($H27,Tbl_vehical_Settings,7,0),
$G27="Custom Fuel",VLOOKUP($M27,Tbl_Fuel_Settings,7,0),
$G27="Weight Distance (e.g. Freight Transport)",VLOOKUP($H27,INDIRECT("Ref_EF_Weight_Distance_CH4"&amp;"_"&amp;$C27),8,0),
$G27="Passenger Distance (e.g. Public Transport)",VLOOKUP($H27,INDIRECT("Ref_EF_Public_Transport_CH4"&amp;"_"&amp;$C27),12,0)),"")</f>
        <v/>
      </c>
      <c r="AM27" s="31" t="e">
        <f ca="1">INDEX(Ref_Master_Unit_Table,MATCH($AB27,REF_To_Unit,0),MATCH('Reference - Lookup and Unit'!$A$11,Ref_From_Units,0))</f>
        <v>#N/A</v>
      </c>
      <c r="AN27" s="31" t="e">
        <f t="shared" ca="1" si="0"/>
        <v>#N/A</v>
      </c>
      <c r="AO27" s="31" t="e">
        <f ca="1">INDEX(Ref_Master_Unit_Table,MATCH($AE27,REF_To_Unit,0),MATCH('Reference - Lookup and Unit'!$A$11,Ref_From_Units,0))</f>
        <v>#N/A</v>
      </c>
      <c r="AP27" s="31" t="e">
        <f t="shared" ca="1" si="59"/>
        <v>#N/A</v>
      </c>
      <c r="AQ27" s="31" t="e">
        <f ca="1">INDEX(Ref_Master_Unit_Table,MATCH($AH27,REF_To_Unit,0),MATCH('Reference - Lookup and Unit'!$A$11,Ref_From_Units,0))</f>
        <v>#N/A</v>
      </c>
      <c r="AR27" s="31" t="e">
        <f t="shared" ca="1" si="60"/>
        <v>#N/A</v>
      </c>
      <c r="AS27" s="31" t="e">
        <f ca="1">INDEX(Ref_Master_Unit_Table,MATCH($AK27,REF_To_Unit,0),MATCH('Reference - Lookup and Unit'!$A$11,Ref_From_Units,0))</f>
        <v>#N/A</v>
      </c>
      <c r="AT27" s="31" t="e">
        <f t="shared" ca="1" si="61"/>
        <v>#N/A</v>
      </c>
      <c r="AU27" s="31" t="e" cm="1">
        <f t="array" aca="1" ref="AU27"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27" s="31">
        <f t="shared" ca="1" si="48"/>
        <v>27.9</v>
      </c>
      <c r="AW27" s="31">
        <f t="shared" ca="1" si="49"/>
        <v>273</v>
      </c>
      <c r="AX27" s="31" t="e" cm="1">
        <f t="array" aca="1" ref="AX27"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27" s="25" t="e" cm="1">
        <f t="array" ref="AY27">_xlfn.IFS(
AND($E27&lt;&gt;"",$G27="Custom Fuel"),("Settings_Custom_Fuels"),
AND($E27&lt;&gt;"",$G27="Custom vehicle"),("Settings_Custom_Vehicle"),
AND($E27&lt;&gt;"",$G27="Fuel Use"),("Ref_DD_vehicle_FuelUse"&amp;"_"&amp;C27&amp;"_"&amp;E27),
AND($E27&lt;&gt;"",$G27="Fuel Use and Vehicle Distance"),("Ref_DD_Fuel_VehicleDistance"&amp;"_"&amp;C27&amp;"_"&amp;E27),
AND($E27&lt;&gt;"",$G27="Vehicle Distance (e.g. Road Transport)"),("Ref_DD_vehicle_VehicleDistance"&amp;"_"&amp;C27&amp;"_"&amp;E27),
AND($E27&lt;&gt;"",$G27="Weight Distance (e.g. Freight Transport)"),("Ref_DD_vehicle_WeightDistance"&amp;"_"&amp;C27&amp;"_"&amp;E27),
AND($E27&lt;&gt;"",$G27="Vehicle Distance (e.g. Public or Freight Transport)"),("Ref_DD_vehicle_DistanceS3"&amp;"_"&amp;C27),
AND($E27&lt;&gt;"",$G27="Passenger Distance (e.g. Public Transport)"),("Ref_DD_vehicle_Passenger"&amp;"_"&amp;C27&amp;"_"&amp;E27),
AND($E27="",$G27="Fuel Use"),("Ref_DD_vehicle_FuelUse"&amp;"_"&amp;C27),
AND($E27="",OR($G27="Vehicle Distance (e.g. Road Transport)",$G27="Fuel Use and Vehicle Distance")),("Ref_DD_vehicle_VehicleDistance"&amp;"_"&amp;C27),
AND($E27="",$G27="Weight Distance (e.g. Freight Transport)"),("Ref_DD_vehicle_WeightDistance"&amp;"_"&amp;C27),
AND($E27="",$G27="Vehicle Distance (e.g. Public or Freight Transport)"),("Ref_DD_vehicle_DistanceS3"&amp;"_"&amp;C27),
AND($E27="",$G27="Passenger Distance (e.g. Public Transport)"),("Ref_DD_vehicle_Passenger"&amp;"_"&amp;C27))</f>
        <v>#N/A</v>
      </c>
      <c r="AZ27" s="25" t="b">
        <f t="shared" ca="1" si="4"/>
        <v>0</v>
      </c>
      <c r="BA27" s="25" t="str">
        <f t="shared" si="5"/>
        <v/>
      </c>
      <c r="BB27" s="25" t="str">
        <f t="shared" si="6"/>
        <v/>
      </c>
      <c r="BC27" s="25" t="str">
        <f t="shared" si="50"/>
        <v/>
      </c>
      <c r="BD27" s="25" t="str">
        <f t="shared" si="51"/>
        <v/>
      </c>
      <c r="BE27" s="25" t="str">
        <f t="shared" si="52"/>
        <v/>
      </c>
      <c r="BF27" s="25" t="str">
        <f t="shared" si="53"/>
        <v/>
      </c>
      <c r="BG27" s="25" t="str">
        <f t="shared" si="7"/>
        <v/>
      </c>
      <c r="BH27" s="25" t="str">
        <f t="shared" si="8"/>
        <v/>
      </c>
      <c r="BI27" s="25" t="str">
        <f t="shared" si="54"/>
        <v/>
      </c>
      <c r="BJ27" s="25" t="str">
        <f t="shared" si="55"/>
        <v/>
      </c>
      <c r="BK27" s="25" t="str">
        <f t="shared" si="56"/>
        <v/>
      </c>
      <c r="BL27" s="25" t="str">
        <f t="shared" si="57"/>
        <v/>
      </c>
      <c r="BM27" s="25" t="str">
        <f t="shared" si="9"/>
        <v/>
      </c>
      <c r="BN27" s="25" t="str">
        <f t="shared" ca="1" si="10"/>
        <v/>
      </c>
      <c r="BO27" s="25" t="str">
        <f t="shared" si="11"/>
        <v/>
      </c>
      <c r="BP27" s="25" t="str">
        <f t="shared" si="12"/>
        <v/>
      </c>
      <c r="BQ27" s="25" t="str">
        <f t="shared" si="13"/>
        <v/>
      </c>
      <c r="BR27" s="25" t="str">
        <f t="shared" si="14"/>
        <v/>
      </c>
      <c r="BS27" s="25" t="str">
        <f t="shared" si="15"/>
        <v/>
      </c>
      <c r="BT27" s="25" t="str">
        <f t="shared" si="16"/>
        <v/>
      </c>
      <c r="BU27" s="25" t="str">
        <f t="shared" si="17"/>
        <v/>
      </c>
      <c r="BV27" s="25" t="str">
        <f t="shared" si="18"/>
        <v/>
      </c>
      <c r="BW27" s="25" t="str">
        <f t="shared" si="19"/>
        <v/>
      </c>
      <c r="BX27" s="25" t="str">
        <f t="shared" si="20"/>
        <v/>
      </c>
      <c r="BY27" s="25" t="str">
        <f t="shared" si="21"/>
        <v/>
      </c>
      <c r="BZ27" s="25" t="str">
        <f t="shared" si="22"/>
        <v/>
      </c>
      <c r="CA27" s="25" t="str">
        <f t="shared" si="23"/>
        <v/>
      </c>
      <c r="CB27" s="25" t="str">
        <f t="shared" si="24"/>
        <v/>
      </c>
      <c r="CC27" s="25" t="str">
        <f t="shared" si="25"/>
        <v/>
      </c>
      <c r="CD27" s="25" t="str">
        <f t="shared" si="26"/>
        <v/>
      </c>
      <c r="CE27" s="25" t="str">
        <f t="shared" si="27"/>
        <v/>
      </c>
      <c r="CF27" s="25" t="str">
        <f t="shared" si="28"/>
        <v/>
      </c>
      <c r="CG27" s="25" t="str">
        <f t="shared" si="29"/>
        <v/>
      </c>
      <c r="CH27" s="25" t="str">
        <f t="shared" si="30"/>
        <v/>
      </c>
      <c r="CI27" s="25" t="str">
        <f t="shared" si="31"/>
        <v/>
      </c>
      <c r="CJ27" s="25" t="str">
        <f t="shared" si="32"/>
        <v/>
      </c>
      <c r="CK27" s="25" t="str">
        <f t="shared" si="33"/>
        <v/>
      </c>
      <c r="CL27" s="25" t="str">
        <f t="shared" si="34"/>
        <v/>
      </c>
      <c r="CM27" s="25" t="str">
        <f t="shared" si="35"/>
        <v/>
      </c>
      <c r="CN27" s="25" t="str">
        <f t="shared" si="36"/>
        <v/>
      </c>
      <c r="CO27" s="25" t="str">
        <f t="shared" si="37"/>
        <v/>
      </c>
      <c r="CP27" s="25" t="str">
        <f t="shared" si="38"/>
        <v/>
      </c>
      <c r="CQ27" s="25" t="str">
        <f t="shared" si="39"/>
        <v/>
      </c>
      <c r="CR27" s="25" t="str">
        <f t="shared" si="40"/>
        <v/>
      </c>
      <c r="CS27" s="25" t="str">
        <f t="shared" si="41"/>
        <v/>
      </c>
      <c r="CT27" s="25" t="str">
        <f t="shared" si="42"/>
        <v/>
      </c>
      <c r="CU27" s="25" t="str">
        <f t="shared" si="43"/>
        <v/>
      </c>
      <c r="CV27" s="25" t="str">
        <f t="shared" si="44"/>
        <v/>
      </c>
      <c r="CW27" s="25" t="str">
        <f t="shared" si="45"/>
        <v/>
      </c>
      <c r="CX27" s="25" t="str" cm="1">
        <f t="array" ref="CX27">_xlfn.IFNA(_xlfn.IFS(
$G27="Weight Distance (e.g. Freight Transport)","Ref_DD_WeightDistanceUnits",
$G27="Passenger Distance (e.g. Public Transport)","Ref_DD_PasengerDistanceUnits",
$G27="Vehicle Distance (e.g. Road Transport)", "Ref_DD_DistanceUnit",
$G27="Vehicle Distance (e.g. Public or Freight Transport)","Ref_DD_DistanceUnit",
$G27="Fuel Use and Vehicle Distance", "Ref_DD_DistanceUnit",
$G27="Custom Vehicle",VLOOKUP($H27,'2. Settings'!$B$39:$I$54,8,FALSE)),"")</f>
        <v/>
      </c>
      <c r="CY27" s="27" t="str">
        <f ca="1">IF(AND(ISERROR(#REF!*$AU27)=TRUE,ISERROR((S27/1000)*$AV27)=TRUE,ISERROR((T27/1000)*$AW27)=FALSE),((T27/1000)*$AW27),"")</f>
        <v/>
      </c>
      <c r="CZ27" s="27" cm="1">
        <f t="array" ref="CZ27">IFERROR(_xlfn.IFS(
AND($G27="Custom vehicle",OR($J27="Passenger Mile",$J27="Passenger Kilometer")),"Passenger Distance (e.g. Public Transport)",
AND($G27="Custom vehicle",OR($J27="Tonne Mile",$J27="Tonne Kilometer",$J27="Short Ton Kilometer",$J27="Short Ton Mile")),"Weight Distance (e.g. Freight Transport)",
AND($G27="Custom vehicle",OR($J27="Mile",$J27="Kilometer")),"Vehicle Distance (e.g. Road Transport)",
$G27&lt;&gt;"Custom vehicle",$G27),"")</f>
        <v>0</v>
      </c>
      <c r="DA27" s="27" t="str" cm="1">
        <f t="array" ref="DA27">IFERROR(_xlfn.IFS(OR(J27="Tonne Kilometer",J27="Tonne Mile",J27="Short Ton Mile",J27="Short Ton Kilometer"),I27*K27,OR(J27="Passenger Kilometer",J27="Passenger Mile"),I27*L27,OR(J27="Kilometer",J27="Mile"),$I27),"")</f>
        <v/>
      </c>
    </row>
    <row r="28" spans="2:105" x14ac:dyDescent="0.25">
      <c r="B28" s="244"/>
      <c r="C28" s="71" t="str" cm="1">
        <f t="array" ref="C28">IFERROR(_xlfn.IFS($D28="Other", D28&amp;"_" &amp;Ref_Other_to,OR($D28="UK", $D28="US"),$D28),"")</f>
        <v/>
      </c>
      <c r="D28" s="71"/>
      <c r="E28" s="71"/>
      <c r="F28" s="71"/>
      <c r="G28" s="72"/>
      <c r="H28" s="72"/>
      <c r="I28" s="73"/>
      <c r="J28" s="73"/>
      <c r="K28" s="73"/>
      <c r="L28" s="73"/>
      <c r="M28" s="74"/>
      <c r="N28" s="75"/>
      <c r="O28" s="71"/>
      <c r="P28" s="165" t="str">
        <f t="shared" si="58"/>
        <v/>
      </c>
      <c r="Q28" s="166" t="str">
        <f t="shared" si="46"/>
        <v/>
      </c>
      <c r="R28" s="76" t="str" cm="1">
        <f t="array" aca="1" ref="R28" ca="1">IFERROR(_xlfn.IFS(
AND(AA28&gt;0, OR($G28="Fuel Use",$G28="Custom Fuel")),$N28*$AA28*$AM28*$AN28,
AND(AA28&gt;0,$CZ28="Vehicle Distance (e.g. Road Transport)"),$I28*$AA28*$AM28*$AN28,
AND(AA28&gt;0,$CZ28="Vehicle Distance (e.g. Public or Freight Transport)"),$I28*$AA28*$AM28*$AN28,
AND(AA28&gt;0,$CZ28="Fuel Use and Vehicle Distance"),$N28*$AA28*$AM28*$AN28,
AND(AA28&gt;0,$CZ28="Passenger Distance (e.g. Public Transport)"),$DA28*$AA28*$AM28*$AN28,
AND(AA28&gt;0,$CZ28="Weight Distance (e.g. Freight Transport)"),$DA28*$AA28*$AM28*$AN28),"")</f>
        <v/>
      </c>
      <c r="S28" s="77" t="str" cm="1">
        <f t="array" aca="1" ref="S28" ca="1">IFERROR(_xlfn.IFS(
AND(AG28&gt;-1, $G28="Fuel Use and Vehicle Distance"),$I28*$AG28*$AQ28*$AR28,
AND(AG28&gt;-1, $G28="Vehicle Distance (e.g. Road Transport)"),$I28*$AG28*$AQ28*$AR28,
AND(AG28&gt;-1, $CZ28="Vehicle Distance (e.g. Public or Freight Transport)"),$I28*$AG28*$AQ28*$AR28,
AND(AG28&gt;-1, OR($G28="Fuel Use",$G28="Custom Fuel")), $N28*$AG28*$AQ28*$AR28*1000,
AND(AG28&gt;-1, $G28="Custom Vehicle"),$DA28*$AG28*$AQ28*$AR28*1000,
AND(AG28&gt;-1, AND($G28&lt;&gt;"Custom Vehicle",$CZ28="Weight Distance (e.g. Freight Transport)")),$DA28*$AG28*$AQ28*$AR28*1000,
AND(AG28&gt;-1, AND($G28&lt;&gt;"Custom Vehicle",$CZ28="Passenger Distance (e.g. Public Transport)")), $DA28*$AG28*$AQ28*$AR28*1000),"")</f>
        <v/>
      </c>
      <c r="T28" s="77" t="str" cm="1">
        <f t="array" aca="1" ref="T28" ca="1">IFERROR(_xlfn.IFS(
AND(AJ28&gt;0,$G28="Fuel Use and Vehicle Distance"),$I28*$AJ28*$AS28*$AT28,
AND(AJ28&gt;0,$G28="Vehicle Distance (e.g. Road Transport)"),$I28*$AJ28*$AS28*$AT28,
AND(AJ28&gt;0,$G28="Vehicle Distance (e.g. Public or Freight Transport)"),$I28*$AJ28*$AS28*$AT28,
AND(AJ28&gt;0,OR($G28="Fuel Use",$G28="Custom Fuel")), $N28*$AJ28*$AS28*$AT28*1000,
AND(AJ28&gt;0,$G28="Custom Vehicle"),$DA28*$AJ28*$AS28*$AT28*1000,
AND(AJ28&gt;0,AND($G28&lt;&gt;"Custom Vehicle",$CZ28="Weight Distance (e.g. Freight Transport)")),$DA28*$AJ28*$AS28*$AT28*1000,
AND(AJ28&gt;0,AND($G28&lt;&gt;"Custom Vehicle",$CZ28="Passenger Distance (e.g. Public Transport)")), $DA28*$AJ28*$AS28*$AT28*1000),"")</f>
        <v/>
      </c>
      <c r="U28" s="78" t="str">
        <f t="shared" ca="1" si="47"/>
        <v/>
      </c>
      <c r="V28" s="161" t="str" cm="1">
        <f t="array" aca="1" ref="V28" ca="1">IFERROR(_xlfn.IFS(
AND(AD28&gt;0,OR($CZ28="Fuel Use",$CZ28="Custom Fuel",$CZ28="Fuel Use and Vehicle Distance")),($N28*$AD28*$AO28*$AP28),
AND(AD28&gt;0,$G28="Custom Vehicle"),$DA28*$AD28*$AO28*$AP28,
AND(AD28&gt;0,$CZ28="Vehicle Distance (e.g. Public or Freight Transport)"),$I28*$AD28*$AM28*$AN28,
AND(AD28&gt;0,$CZ28="Weight Distance (e.g. Freight Transport)"),($I28*$K28*$AD28*$AO28*$AP28),
AND(AD28&gt;0,$CZ28="Passenger Distance (e.g. Public Transport)"),$I28*$L28*$AD28*$AO28*$AP28,
AND(AD28&gt;0,$CZ28="Vehicle Distance (e.g. Road Transport)"),($I28*$AD28*$AO28*$AP28)),"")</f>
        <v/>
      </c>
      <c r="W28" s="164" t="str" cm="1">
        <f t="array" aca="1" ref="W28" ca="1">IFERROR(_xlfn.IFS(AND(ISNUMBER(R28),AA28=0),AA28&amp;" "&amp;"("&amp;AB28&amp;" CO2/"&amp;AC28&amp;")",AND(ISNUMBER(R28),AA28&gt;0),ROUND(AA28,INT(3-LOG(AA28)))&amp;" "&amp;"("&amp;AB28&amp;" CO2/"&amp;AC28&amp;")"),"")</f>
        <v/>
      </c>
      <c r="X28" s="164" t="str" cm="1">
        <f t="array" aca="1" ref="X28" ca="1">IFERROR(_xlfn.IFS(AND(ISNUMBER(S28), AG28=0),AG28&amp;" "&amp;"("&amp;AH28&amp;" CH4/"&amp;AI28&amp;")",AND(ISNUMBER(S28), AG28&gt;0),ROUND(AG28,INT(3-LOG(AG28)))&amp;" "&amp;"("&amp;AH28&amp;" CH4/"&amp;AI28&amp;")"),"")</f>
        <v/>
      </c>
      <c r="Y28" s="164" t="str" cm="1">
        <f t="array" aca="1" ref="Y28" ca="1">IFERROR(_xlfn.IFS(AND(ISNUMBER(T28), AJ28=0),AJ28&amp;" "&amp;"("&amp;AK28&amp;" CH4/"&amp;AL28&amp;")",AND(ISNUMBER(T28), AJ28&gt;0),ROUND(AJ28,INT(3-LOG(AJ28)))&amp;" "&amp;"("&amp;AK28&amp;" N2O/"&amp;AL28&amp;")"),"")</f>
        <v/>
      </c>
      <c r="Z28" s="245" t="str" cm="1">
        <f t="array" aca="1" ref="Z28" ca="1">IFERROR(_xlfn.IFS(AND(ISNUMBER(V28),AD28=0),AD28&amp;" "&amp;"("&amp;AE28&amp;" CO2/"&amp;AF28&amp;")",AND(ISNUMBER(V28),AD28&gt;0),ROUND(AD28,INT(3-LOG(AD28)))&amp;" "&amp;"("&amp;AE28&amp;" CO2/"&amp;AF28&amp;")"),"")</f>
        <v/>
      </c>
      <c r="AA28" s="240" t="str" cm="1">
        <f t="array" aca="1" ref="AA28" ca="1">IFERROR(_xlfn.IFS(
OR($G28="Fuel Use",$G28="Fuel Use and Vehicle Distance"),VLOOKUP($M28,INDIRECT("Ref_EF_ByFuel"&amp;"_"&amp;$C28),3,0),
$G28="Vehicle Distance (e.g. Road Transport)",VLOOKUP($H28,INDIRECT("Ref_EF_Vehicle_Distance"&amp;"_"&amp;$C28),3,0),
$G28="Vehicle Distance (e.g. Public or Freight Transport)",VLOOKUP($H28,INDIRECT("Ref_EF_Vehicle_Distance_S3"&amp;"_"&amp;$C28),3,0),
$G28="Custom Vehicle",VLOOKUP($H28,Tbl_vehical_Settings,2,0),
$G28="Custom Fuel",VLOOKUP($M28,Tbl_Fuel_Settings,2,0),
$G28="Weight Distance (e.g. Freight Transport)",VLOOKUP($H28,INDIRECT("Ref_EF_Weight_Distance"&amp;"_"&amp;$C28),3,0),
$G28="Passenger Distance (e.g. Public Transport)",VLOOKUP($H28,INDIRECT("Ref_EF_Public_Transport"&amp;"_"&amp;$C28),3,0)),"")</f>
        <v/>
      </c>
      <c r="AB28" s="31" t="str" cm="1">
        <f t="array" aca="1" ref="AB28" ca="1">IFERROR(_xlfn.IFS(
OR($G28="Fuel Use",$G28="Fuel Use and Vehicle Distance"),VLOOKUP($M28,INDIRECT("Ref_EF_ByFuel"&amp;"_"&amp;$C28),5,0),
$G28="Vehicle Distance (e.g. Road Transport)",VLOOKUP($H28,INDIRECT("Ref_EF_Vehicle_Distance"&amp;"_"&amp;$C28),5,0),
$G28="Vehicle Distance (e.g. Public or Freight Transport)",VLOOKUP($H28,INDIRECT("Ref_EF_Vehicle_Distance_S3"&amp;"_"&amp;$C28),5,0),
$G28="Custom Vehicle",VLOOKUP($H28,Tbl_vehical_Settings,6,0),
$G28="Custom Fuel",VLOOKUP($M28,Tbl_Fuel_Settings,6,0),
$G28="Weight Distance (e.g. Freight Transport)",VLOOKUP($H28,INDIRECT("Ref_EF_Weight_Distance"&amp;"_"&amp;$C28),5,0),
$G28="Passenger Distance (e.g. Public Transport)",VLOOKUP($H28,INDIRECT("Ref_EF_Public_Transport"&amp;"_"&amp;$C28),5,0)),"")</f>
        <v/>
      </c>
      <c r="AC28" s="31" t="str" cm="1">
        <f t="array" aca="1" ref="AC28" ca="1">IFERROR(_xlfn.IFS(
OR($G28="Fuel Use",$G28="Fuel Use and Vehicle Distance"),VLOOKUP($M28,INDIRECT("Ref_EF_ByFuel"&amp;"_"&amp;$C28),6,0),
$G28="Vehicle Distance (e.g. Road Transport)",VLOOKUP($H28,INDIRECT("Ref_EF_Vehicle_Distance"&amp;"_"&amp;$C28),6,0),
$G28="Vehicle Distance (e.g. Public or Freight Transport)",VLOOKUP($H28,INDIRECT("Ref_EF_Vehicle_Distance_S3"&amp;"_"&amp;$C28),6,0),
$G28="Custom Vehicle",VLOOKUP($H28,Tbl_vehical_Settings,7,0),
$G28="Custom Fuel",VLOOKUP($M28,Tbl_Fuel_Settings,7,0),
$G28="Weight Distance (e.g. Freight Transport)",VLOOKUP($H28,INDIRECT("Ref_EF_Weight_Distance"&amp;"_"&amp;$C28),6,0),
$G28="Passenger Distance (e.g. Public Transport)",VLOOKUP($H28,INDIRECT("Ref_EF_Public_Transport"&amp;"_"&amp;$C28),6,0)),"")</f>
        <v/>
      </c>
      <c r="AD28" s="31" t="str" cm="1">
        <f t="array" aca="1" ref="AD28" ca="1">IFERROR(_xlfn.IFS(
OR($G28="Fuel Use",$G28="Fuel Use and Vehicle Distance"),VLOOKUP($M28,INDIRECT("Ref_EF_ByFuel"&amp;"_"&amp;$C28),4,0),
$G28="Vehicle Distance (e.g. Road Transport)",VLOOKUP($H28,INDIRECT("Ref_EF_Vehicle_Distance"&amp;"_"&amp;$C28),4,0),
$G28="Vehicle Distance (e.g. Public or Freight Transport)",VLOOKUP($H28,INDIRECT("Ref_EF_Vehicle_Distance_S3"&amp;"_"&amp;$C28),4,0),
$G28="Custom Vehicle",VLOOKUP($H28,Tbl_vehical_Settings,5,0),
$G28="Custom Fuel",VLOOKUP($M28,Tbl_Fuel_Settings,5,0),
$G28="Weight Distance (e.g. Freight Transport)",VLOOKUP($H28,INDIRECT("Ref_EF_Weight_Distance"&amp;"_"&amp;$C28),4,0),
$G28="Passenger Distance (e.g. Public Transport)",VLOOKUP($H28,INDIRECT("Ref_EF_Public_Transport"&amp;"_"&amp;$C28),4,0)),"")</f>
        <v/>
      </c>
      <c r="AE28" s="31" t="str" cm="1">
        <f t="array" aca="1" ref="AE28" ca="1">IFERROR(_xlfn.IFS(
OR($G28="Fuel Use",$G28="Fuel Use and Vehicle Distance"),VLOOKUP($M28,INDIRECT("Ref_EF_ByFuel"&amp;"_"&amp;$C28),5,0),
$G28="Vehicle Distance (e.g. Road Transport)",VLOOKUP($H28,INDIRECT("Ref_EF_Vehicle_Distance"&amp;"_"&amp;$C28),5,0),
$G28="Vehicle Distance (e.g. Public or Freight Transport)",VLOOKUP($H28,INDIRECT("Ref_EF_Vehicle_Distance_S3"&amp;"_"&amp;$C28),5,0),
$G28="Custom Vehicle",VLOOKUP($H28,Tbl_vehical_Settings,6,0),
$G28="Custom Fuel",VLOOKUP($M28,Tbl_Fuel_Settings,6,0),
$G28="Weight Distance (e.g. Freight Transport)",VLOOKUP($H28,INDIRECT("Ref_EF_Weight_Distance"&amp;"_"&amp;$C28),5,0),
$G28="Passenger Distance (e.g. Public Transport)",VLOOKUP($H28,INDIRECT("Ref_EF_Public_Transport"&amp;"_"&amp;$C28),5,0)),"")</f>
        <v/>
      </c>
      <c r="AF28" s="31" t="str" cm="1">
        <f t="array" aca="1" ref="AF28" ca="1">IFERROR(_xlfn.IFS(
OR($G28="Fuel Use",$G28="Fuel Use and Vehicle Distance"),VLOOKUP($M28,INDIRECT("Ref_EF_ByFuel"&amp;"_"&amp;$C28),6,0),
$G28="Vehicle Distance (e.g. Road Transport)",VLOOKUP($H28,INDIRECT("Ref_EF_Vehicle_Distance"&amp;"_"&amp;$C28),6,0),
$G28="Vehicle Distance (e.g. Public or Freight Transport)",VLOOKUP($H28,INDIRECT("Ref_EF_Vehicle_Distance_S3"&amp;"_"&amp;$C28),6,0),
$G28="Custom Vehicle",VLOOKUP($H28,Tbl_vehical_Settings,7,0),
$G28="Custom Fuel",VLOOKUP($M28,Tbl_Fuel_Settings,7,0),
$G28="Weight Distance (e.g. Freight Transport)",VLOOKUP($H28,INDIRECT("Ref_EF_Weight_Distance"&amp;"_"&amp;$C28),6,0),
$G28="Passenger Distance (e.g. Public Transport)",VLOOKUP($H28,INDIRECT("Ref_EF_Public_Transport"&amp;"_"&amp;$C28),6,0)),"")</f>
        <v/>
      </c>
      <c r="AG28" s="31" t="str" cm="1">
        <f t="array" aca="1" ref="AG28" ca="1">IFERROR(_xlfn.IFS(
AND($G28="Fuel Use",$E28&lt;&gt;"Road"),VLOOKUP($H28,INDIRECT("Ref_EF_ByFuel_CH4"&amp;"_"&amp;$C28),3,0),
$G28="Vehicle Distance (e.g. Road Transport)",VLOOKUP($H28,INDIRECT("Ref_EF_Vehicle_Distance"&amp;"_"&amp;$C28),7,0),
$G28="Vehicle Distance (e.g. Public or Freight Transport)",VLOOKUP($H28,INDIRECT("Ref_EF_Vehicle_Distance_S3"&amp;"_"&amp;$C28),7,0),
$G28="Fuel Use and Vehicle Distance",VLOOKUP($H28,INDIRECT("Ref_EF_Fuel_Vehicle_Distance"&amp;"_"&amp;$C28),3,0),
$G28="Custom Vehicle",VLOOKUP($H28,Tbl_vehical_Settings,3,0),
$G28="Custom Fuel",VLOOKUP($M28,Tbl_Fuel_Settings,3,0),
$G28="Weight Distance (e.g. Freight Transport)",VLOOKUP($H28,INDIRECT("Ref_EF_Weight_Distance_CH4"&amp;"_"&amp;$C28),3,0),
$G28="Passenger Distance (e.g. Public Transport)",VLOOKUP($H28,INDIRECT("Ref_EF_Public_Transport_CH4"&amp;"_"&amp;$C28),7,0)),"")</f>
        <v/>
      </c>
      <c r="AH28" s="31" t="str" cm="1">
        <f t="array" aca="1" ref="AH28" ca="1">IFERROR(_xlfn.IFS(
AND($G28="Fuel Use",$E28&lt;&gt;"Road"),VLOOKUP($H28,INDIRECT("Ref_EF_ByFuel_CH4"&amp;"_"&amp;$C28),4,0),
$G28="Vehicle Distance (e.g. Road Transport)",VLOOKUP($H28,INDIRECT("Ref_EF_Vehicle_Distance"&amp;"_"&amp;$C28),8,0),
$G28="Vehicle Distance (e.g. Public or Freight Transport)",VLOOKUP($H28,INDIRECT("Ref_EF_Vehicle_Distance_S3"&amp;"_"&amp;$C28),8,0),
$G28="Fuel Use and Vehicle Distance",VLOOKUP($H28,INDIRECT("Ref_EF_Fuel_Vehicle_Distance"&amp;"_"&amp;$C28),4,0),
$G28="Custom Vehicle",VLOOKUP($H28,Tbl_vehical_Settings,6,0),
$G28="Custom Fuel",VLOOKUP($M28,Tbl_Fuel_Settings,6,0),
$G28="Weight Distance (e.g. Freight Transport)",VLOOKUP($H28,INDIRECT("Ref_EF_Weight_Distance_CH4"&amp;"_"&amp;$C28),4,0),
$G28="Passenger Distance (e.g. Public Transport)",VLOOKUP($H28,INDIRECT("Ref_EF_Public_Transport_CH4"&amp;"_"&amp;$C28),8,0)),"")</f>
        <v/>
      </c>
      <c r="AI28" s="31" t="str" cm="1">
        <f t="array" aca="1" ref="AI28" ca="1">IFERROR(_xlfn.IFS(
AND($G28="Fuel Use",$E28&lt;&gt;"Road"),VLOOKUP($H28,INDIRECT("Ref_EF_ByFuel_CH4"&amp;"_"&amp;$C28),5,0),
$G28="Vehicle Distance (e.g. Road Transport)",VLOOKUP($H28,INDIRECT("Ref_EF_Vehicle_Distance"&amp;"_"&amp;$C28),9,0),
$G28="Vehicle Distance (e.g. Public or Freight Transport)",VLOOKUP($H28,INDIRECT("Ref_EF_Vehicle_Distance_S3"&amp;"_"&amp;$C28),9,0),
$G28="Fuel Use and Vehicle Distance",VLOOKUP($H28,INDIRECT("Ref_EF_Fuel_Vehicle_Distance"&amp;"_"&amp;$C28),5,0),
$G28="Custom Vehicle",VLOOKUP($H28,Tbl_vehical_Settings,7,0),
$G28="Custom Fuel",VLOOKUP($M28,Tbl_Fuel_Settings,7,0),
$G28="Weight Distance (e.g. Freight Transport)",VLOOKUP($H28,INDIRECT("Ref_EF_Weight_Distance_CH4"&amp;"_"&amp;$C28),5,0),
$G28="Passenger Distance (e.g. Public Transport)",VLOOKUP($H28,INDIRECT("Ref_EF_Public_Transport_CH4"&amp;"_"&amp;$C28),9,0)),"")</f>
        <v/>
      </c>
      <c r="AJ28" s="31" t="str" cm="1">
        <f t="array" aca="1" ref="AJ28" ca="1">IFERROR(_xlfn.IFS(
AND($G28="Fuel Use",$E28&lt;&gt;"Road"),VLOOKUP($H28,INDIRECT("Ref_EF_ByFuel_CH4"&amp;"_"&amp;$C28),6,0),
$G28="Vehicle Distance (e.g. Road Transport)",VLOOKUP($H28,INDIRECT("Ref_EF_Vehicle_Distance"&amp;"_"&amp;$C28),10,0),
$G28="Vehicle Distance (e.g. Public or Freight Transport)",VLOOKUP($H28,INDIRECT("Ref_EF_Vehicle_Distance_S3"&amp;"_"&amp;$C28),10,0),
$G28="Fuel Use and Vehicle Distance",VLOOKUP($H28,INDIRECT("Ref_EF_Fuel_Vehicle_Distance"&amp;"_"&amp;$C28),6,0),
$G28="Custom Vehicle",VLOOKUP($H28,Tbl_vehical_Settings,4,0),
$G28="Custom Fuel",VLOOKUP($M28,Tbl_Fuel_Settings,4,0),
$G28="Weight Distance (e.g. Freight Transport)",VLOOKUP($H28,INDIRECT("Ref_EF_Weight_Distance_CH4"&amp;"_"&amp;$C28),6,0),
$G28="Passenger Distance (e.g. Public Transport)",VLOOKUP($H28,INDIRECT("Ref_EF_Public_Transport_CH4"&amp;"_"&amp;$C28),10,0)),"")</f>
        <v/>
      </c>
      <c r="AK28" s="31" t="str" cm="1">
        <f t="array" aca="1" ref="AK28" ca="1">IFERROR(_xlfn.IFS(
AND($G28="Fuel Use",$E28&lt;&gt;"Road"),VLOOKUP($H28,INDIRECT("Ref_EF_ByFuel_CH4"&amp;"_"&amp;$C28),7,0),
$G28="Vehicle Distance (e.g. Road Transport)",VLOOKUP($H28,INDIRECT("Ref_EF_Vehicle_Distance"&amp;"_"&amp;$C28),11,0),
$G28="Vehicle Distance (e.g. Public or Freight Transport)",VLOOKUP($H28,INDIRECT("Ref_EF_Vehicle_Distance_S3"&amp;"_"&amp;$C28),11,0),
$G28="Fuel Use and Vehicle Distance",VLOOKUP($H28,INDIRECT("Ref_EF_Fuel_Vehicle_Distance"&amp;"_"&amp;$C28),7,0),
$G28="Custom Vehicle",VLOOKUP($H28,Tbl_vehical_Settings,6,0),
$G28="Custom Fuel",VLOOKUP($M28,Tbl_Fuel_Settings,6,0),
$G28="Weight Distance (e.g. Freight Transport)",VLOOKUP($H28,INDIRECT("Ref_EF_Weight_Distance_CH4"&amp;"_"&amp;$C28),7,0),
$G28="Passenger Distance (e.g. Public Transport)",VLOOKUP($H28,INDIRECT("Ref_EF_Public_Transport_CH4"&amp;"_"&amp;$C28),11,0)),"")</f>
        <v/>
      </c>
      <c r="AL28" s="31" t="str" cm="1">
        <f t="array" aca="1" ref="AL28" ca="1">IFERROR(_xlfn.IFS(
AND($G28="Fuel Use",$E28&lt;&gt;"Road"),VLOOKUP($H28,INDIRECT("Ref_EF_ByFuel_CH4"&amp;"_"&amp;$C28),8,0),
$G28="Vehicle Distance (e.g. Road Transport)",VLOOKUP($H28,INDIRECT("Ref_EF_Vehicle_Distance"&amp;"_"&amp;$C28),12,0),
$G28="Vehicle Distance (e.g. Public or Freight Transport)",VLOOKUP($H28,INDIRECT("Ref_EF_Vehicle_Distance_S3"&amp;"_"&amp;$C28),12,0),
$G28="Fuel Use and Vehicle Distance",VLOOKUP($H28,INDIRECT("Ref_EF_Fuel_Vehicle_Distance"&amp;"_"&amp;$C28),8,0),
$G28="Custom Vehicle",VLOOKUP($H28,Tbl_vehical_Settings,7,0),
$G28="Custom Fuel",VLOOKUP($M28,Tbl_Fuel_Settings,7,0),
$G28="Weight Distance (e.g. Freight Transport)",VLOOKUP($H28,INDIRECT("Ref_EF_Weight_Distance_CH4"&amp;"_"&amp;$C28),8,0),
$G28="Passenger Distance (e.g. Public Transport)",VLOOKUP($H28,INDIRECT("Ref_EF_Public_Transport_CH4"&amp;"_"&amp;$C28),12,0)),"")</f>
        <v/>
      </c>
      <c r="AM28" s="31" t="e">
        <f ca="1">INDEX(Ref_Master_Unit_Table,MATCH($AB28,REF_To_Unit,0),MATCH('Reference - Lookup and Unit'!$A$11,Ref_From_Units,0))</f>
        <v>#N/A</v>
      </c>
      <c r="AN28" s="31" t="e">
        <f t="shared" ca="1" si="0"/>
        <v>#N/A</v>
      </c>
      <c r="AO28" s="31" t="e">
        <f ca="1">INDEX(Ref_Master_Unit_Table,MATCH($AE28,REF_To_Unit,0),MATCH('Reference - Lookup and Unit'!$A$11,Ref_From_Units,0))</f>
        <v>#N/A</v>
      </c>
      <c r="AP28" s="31" t="e">
        <f t="shared" ca="1" si="59"/>
        <v>#N/A</v>
      </c>
      <c r="AQ28" s="31" t="e">
        <f ca="1">INDEX(Ref_Master_Unit_Table,MATCH($AH28,REF_To_Unit,0),MATCH('Reference - Lookup and Unit'!$A$11,Ref_From_Units,0))</f>
        <v>#N/A</v>
      </c>
      <c r="AR28" s="31" t="e">
        <f t="shared" ca="1" si="60"/>
        <v>#N/A</v>
      </c>
      <c r="AS28" s="31" t="e">
        <f ca="1">INDEX(Ref_Master_Unit_Table,MATCH($AK28,REF_To_Unit,0),MATCH('Reference - Lookup and Unit'!$A$11,Ref_From_Units,0))</f>
        <v>#N/A</v>
      </c>
      <c r="AT28" s="31" t="e">
        <f t="shared" ca="1" si="61"/>
        <v>#N/A</v>
      </c>
      <c r="AU28" s="31" t="e" cm="1">
        <f t="array" aca="1" ref="AU28"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28" s="31">
        <f t="shared" ca="1" si="48"/>
        <v>27.9</v>
      </c>
      <c r="AW28" s="31">
        <f t="shared" ca="1" si="49"/>
        <v>273</v>
      </c>
      <c r="AX28" s="31" t="e" cm="1">
        <f t="array" aca="1" ref="AX28"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28" s="25" t="e" cm="1">
        <f t="array" ref="AY28">_xlfn.IFS(
AND($E28&lt;&gt;"",$G28="Custom Fuel"),("Settings_Custom_Fuels"),
AND($E28&lt;&gt;"",$G28="Custom vehicle"),("Settings_Custom_Vehicle"),
AND($E28&lt;&gt;"",$G28="Fuel Use"),("Ref_DD_vehicle_FuelUse"&amp;"_"&amp;C28&amp;"_"&amp;E28),
AND($E28&lt;&gt;"",$G28="Fuel Use and Vehicle Distance"),("Ref_DD_Fuel_VehicleDistance"&amp;"_"&amp;C28&amp;"_"&amp;E28),
AND($E28&lt;&gt;"",$G28="Vehicle Distance (e.g. Road Transport)"),("Ref_DD_vehicle_VehicleDistance"&amp;"_"&amp;C28&amp;"_"&amp;E28),
AND($E28&lt;&gt;"",$G28="Weight Distance (e.g. Freight Transport)"),("Ref_DD_vehicle_WeightDistance"&amp;"_"&amp;C28&amp;"_"&amp;E28),
AND($E28&lt;&gt;"",$G28="Vehicle Distance (e.g. Public or Freight Transport)"),("Ref_DD_vehicle_DistanceS3"&amp;"_"&amp;C28),
AND($E28&lt;&gt;"",$G28="Passenger Distance (e.g. Public Transport)"),("Ref_DD_vehicle_Passenger"&amp;"_"&amp;C28&amp;"_"&amp;E28),
AND($E28="",$G28="Fuel Use"),("Ref_DD_vehicle_FuelUse"&amp;"_"&amp;C28),
AND($E28="",OR($G28="Vehicle Distance (e.g. Road Transport)",$G28="Fuel Use and Vehicle Distance")),("Ref_DD_vehicle_VehicleDistance"&amp;"_"&amp;C28),
AND($E28="",$G28="Weight Distance (e.g. Freight Transport)"),("Ref_DD_vehicle_WeightDistance"&amp;"_"&amp;C28),
AND($E28="",$G28="Vehicle Distance (e.g. Public or Freight Transport)"),("Ref_DD_vehicle_DistanceS3"&amp;"_"&amp;C28),
AND($E28="",$G28="Passenger Distance (e.g. Public Transport)"),("Ref_DD_vehicle_Passenger"&amp;"_"&amp;C28))</f>
        <v>#N/A</v>
      </c>
      <c r="AZ28" s="25" t="b">
        <f t="shared" ca="1" si="4"/>
        <v>0</v>
      </c>
      <c r="BA28" s="25" t="str">
        <f t="shared" si="5"/>
        <v/>
      </c>
      <c r="BB28" s="25" t="str">
        <f t="shared" si="6"/>
        <v/>
      </c>
      <c r="BC28" s="25" t="str">
        <f t="shared" si="50"/>
        <v/>
      </c>
      <c r="BD28" s="25" t="str">
        <f t="shared" si="51"/>
        <v/>
      </c>
      <c r="BE28" s="25" t="str">
        <f t="shared" si="52"/>
        <v/>
      </c>
      <c r="BF28" s="25" t="str">
        <f t="shared" si="53"/>
        <v/>
      </c>
      <c r="BG28" s="25" t="str">
        <f t="shared" si="7"/>
        <v/>
      </c>
      <c r="BH28" s="25" t="str">
        <f t="shared" si="8"/>
        <v/>
      </c>
      <c r="BI28" s="25" t="str">
        <f t="shared" si="54"/>
        <v/>
      </c>
      <c r="BJ28" s="25" t="str">
        <f t="shared" si="55"/>
        <v/>
      </c>
      <c r="BK28" s="25" t="str">
        <f t="shared" si="56"/>
        <v/>
      </c>
      <c r="BL28" s="25" t="str">
        <f t="shared" si="57"/>
        <v/>
      </c>
      <c r="BM28" s="25" t="str">
        <f t="shared" si="9"/>
        <v/>
      </c>
      <c r="BN28" s="25" t="str">
        <f t="shared" ca="1" si="10"/>
        <v/>
      </c>
      <c r="BO28" s="25" t="str">
        <f t="shared" si="11"/>
        <v/>
      </c>
      <c r="BP28" s="25" t="str">
        <f t="shared" si="12"/>
        <v/>
      </c>
      <c r="BQ28" s="25" t="str">
        <f t="shared" si="13"/>
        <v/>
      </c>
      <c r="BR28" s="25" t="str">
        <f t="shared" si="14"/>
        <v/>
      </c>
      <c r="BS28" s="25" t="str">
        <f t="shared" si="15"/>
        <v/>
      </c>
      <c r="BT28" s="25" t="str">
        <f t="shared" si="16"/>
        <v/>
      </c>
      <c r="BU28" s="25" t="str">
        <f t="shared" si="17"/>
        <v/>
      </c>
      <c r="BV28" s="25" t="str">
        <f t="shared" si="18"/>
        <v/>
      </c>
      <c r="BW28" s="25" t="str">
        <f t="shared" si="19"/>
        <v/>
      </c>
      <c r="BX28" s="25" t="str">
        <f t="shared" si="20"/>
        <v/>
      </c>
      <c r="BY28" s="25" t="str">
        <f t="shared" si="21"/>
        <v/>
      </c>
      <c r="BZ28" s="25" t="str">
        <f t="shared" si="22"/>
        <v/>
      </c>
      <c r="CA28" s="25" t="str">
        <f t="shared" si="23"/>
        <v/>
      </c>
      <c r="CB28" s="25" t="str">
        <f t="shared" si="24"/>
        <v/>
      </c>
      <c r="CC28" s="25" t="str">
        <f t="shared" si="25"/>
        <v/>
      </c>
      <c r="CD28" s="25" t="str">
        <f t="shared" si="26"/>
        <v/>
      </c>
      <c r="CE28" s="25" t="str">
        <f t="shared" si="27"/>
        <v/>
      </c>
      <c r="CF28" s="25" t="str">
        <f t="shared" si="28"/>
        <v/>
      </c>
      <c r="CG28" s="25" t="str">
        <f t="shared" si="29"/>
        <v/>
      </c>
      <c r="CH28" s="25" t="str">
        <f t="shared" si="30"/>
        <v/>
      </c>
      <c r="CI28" s="25" t="str">
        <f t="shared" si="31"/>
        <v/>
      </c>
      <c r="CJ28" s="25" t="str">
        <f t="shared" si="32"/>
        <v/>
      </c>
      <c r="CK28" s="25" t="str">
        <f t="shared" si="33"/>
        <v/>
      </c>
      <c r="CL28" s="25" t="str">
        <f t="shared" si="34"/>
        <v/>
      </c>
      <c r="CM28" s="25" t="str">
        <f t="shared" si="35"/>
        <v/>
      </c>
      <c r="CN28" s="25" t="str">
        <f t="shared" si="36"/>
        <v/>
      </c>
      <c r="CO28" s="25" t="str">
        <f t="shared" si="37"/>
        <v/>
      </c>
      <c r="CP28" s="25" t="str">
        <f t="shared" si="38"/>
        <v/>
      </c>
      <c r="CQ28" s="25" t="str">
        <f t="shared" si="39"/>
        <v/>
      </c>
      <c r="CR28" s="25" t="str">
        <f t="shared" si="40"/>
        <v/>
      </c>
      <c r="CS28" s="25" t="str">
        <f t="shared" si="41"/>
        <v/>
      </c>
      <c r="CT28" s="25" t="str">
        <f t="shared" si="42"/>
        <v/>
      </c>
      <c r="CU28" s="25" t="str">
        <f t="shared" si="43"/>
        <v/>
      </c>
      <c r="CV28" s="25" t="str">
        <f t="shared" si="44"/>
        <v/>
      </c>
      <c r="CW28" s="25" t="str">
        <f t="shared" si="45"/>
        <v/>
      </c>
      <c r="CX28" s="25" t="str" cm="1">
        <f t="array" ref="CX28">_xlfn.IFNA(_xlfn.IFS(
$G28="Weight Distance (e.g. Freight Transport)","Ref_DD_WeightDistanceUnits",
$G28="Passenger Distance (e.g. Public Transport)","Ref_DD_PasengerDistanceUnits",
$G28="Vehicle Distance (e.g. Road Transport)", "Ref_DD_DistanceUnit",
$G28="Vehicle Distance (e.g. Public or Freight Transport)","Ref_DD_DistanceUnit",
$G28="Fuel Use and Vehicle Distance", "Ref_DD_DistanceUnit",
$G28="Custom Vehicle",VLOOKUP($H28,'2. Settings'!$B$39:$I$54,8,FALSE)),"")</f>
        <v/>
      </c>
      <c r="CY28" s="27" t="str">
        <f ca="1">IF(AND(ISERROR(#REF!*$AU28)=TRUE,ISERROR((S28/1000)*$AV28)=TRUE,ISERROR((T28/1000)*$AW28)=FALSE),((T28/1000)*$AW28),"")</f>
        <v/>
      </c>
      <c r="CZ28" s="27" cm="1">
        <f t="array" ref="CZ28">IFERROR(_xlfn.IFS(
AND($G28="Custom vehicle",OR($J28="Passenger Mile",$J28="Passenger Kilometer")),"Passenger Distance (e.g. Public Transport)",
AND($G28="Custom vehicle",OR($J28="Tonne Mile",$J28="Tonne Kilometer",$J28="Short Ton Kilometer",$J28="Short Ton Mile")),"Weight Distance (e.g. Freight Transport)",
AND($G28="Custom vehicle",OR($J28="Mile",$J28="Kilometer")),"Vehicle Distance (e.g. Road Transport)",
$G28&lt;&gt;"Custom vehicle",$G28),"")</f>
        <v>0</v>
      </c>
      <c r="DA28" s="27" t="str" cm="1">
        <f t="array" ref="DA28">IFERROR(_xlfn.IFS(OR(J28="Tonne Kilometer",J28="Tonne Mile",J28="Short Ton Mile",J28="Short Ton Kilometer"),I28*K28,OR(J28="Passenger Kilometer",J28="Passenger Mile"),I28*L28,OR(J28="Kilometer",J28="Mile"),$I28),"")</f>
        <v/>
      </c>
    </row>
    <row r="29" spans="2:105" x14ac:dyDescent="0.25">
      <c r="B29" s="244"/>
      <c r="C29" s="71" t="str" cm="1">
        <f t="array" ref="C29">IFERROR(_xlfn.IFS($D29="Other", D29&amp;"_" &amp;Ref_Other_to,OR($D29="UK", $D29="US"),$D29),"")</f>
        <v/>
      </c>
      <c r="D29" s="71"/>
      <c r="E29" s="71"/>
      <c r="F29" s="71"/>
      <c r="G29" s="72"/>
      <c r="H29" s="72"/>
      <c r="I29" s="73"/>
      <c r="J29" s="73"/>
      <c r="K29" s="73"/>
      <c r="L29" s="73"/>
      <c r="M29" s="74"/>
      <c r="N29" s="75"/>
      <c r="O29" s="71"/>
      <c r="P29" s="165" t="str">
        <f t="shared" si="58"/>
        <v/>
      </c>
      <c r="Q29" s="166" t="str">
        <f t="shared" si="46"/>
        <v/>
      </c>
      <c r="R29" s="76" t="str" cm="1">
        <f t="array" aca="1" ref="R29" ca="1">IFERROR(_xlfn.IFS(
AND(AA29&gt;0, OR($G29="Fuel Use",$G29="Custom Fuel")),$N29*$AA29*$AM29*$AN29,
AND(AA29&gt;0,$CZ29="Vehicle Distance (e.g. Road Transport)"),$I29*$AA29*$AM29*$AN29,
AND(AA29&gt;0,$CZ29="Vehicle Distance (e.g. Public or Freight Transport)"),$I29*$AA29*$AM29*$AN29,
AND(AA29&gt;0,$CZ29="Fuel Use and Vehicle Distance"),$N29*$AA29*$AM29*$AN29,
AND(AA29&gt;0,$CZ29="Passenger Distance (e.g. Public Transport)"),$DA29*$AA29*$AM29*$AN29,
AND(AA29&gt;0,$CZ29="Weight Distance (e.g. Freight Transport)"),$DA29*$AA29*$AM29*$AN29),"")</f>
        <v/>
      </c>
      <c r="S29" s="77" t="str" cm="1">
        <f t="array" aca="1" ref="S29" ca="1">IFERROR(_xlfn.IFS(
AND(AG29&gt;-1, $G29="Fuel Use and Vehicle Distance"),$I29*$AG29*$AQ29*$AR29,
AND(AG29&gt;-1, $G29="Vehicle Distance (e.g. Road Transport)"),$I29*$AG29*$AQ29*$AR29,
AND(AG29&gt;-1, $CZ29="Vehicle Distance (e.g. Public or Freight Transport)"),$I29*$AG29*$AQ29*$AR29,
AND(AG29&gt;-1, OR($G29="Fuel Use",$G29="Custom Fuel")), $N29*$AG29*$AQ29*$AR29*1000,
AND(AG29&gt;-1, $G29="Custom Vehicle"),$DA29*$AG29*$AQ29*$AR29*1000,
AND(AG29&gt;-1, AND($G29&lt;&gt;"Custom Vehicle",$CZ29="Weight Distance (e.g. Freight Transport)")),$DA29*$AG29*$AQ29*$AR29*1000,
AND(AG29&gt;-1, AND($G29&lt;&gt;"Custom Vehicle",$CZ29="Passenger Distance (e.g. Public Transport)")), $DA29*$AG29*$AQ29*$AR29*1000),"")</f>
        <v/>
      </c>
      <c r="T29" s="77" t="str" cm="1">
        <f t="array" aca="1" ref="T29" ca="1">IFERROR(_xlfn.IFS(
AND(AJ29&gt;0,$G29="Fuel Use and Vehicle Distance"),$I29*$AJ29*$AS29*$AT29,
AND(AJ29&gt;0,$G29="Vehicle Distance (e.g. Road Transport)"),$I29*$AJ29*$AS29*$AT29,
AND(AJ29&gt;0,$G29="Vehicle Distance (e.g. Public or Freight Transport)"),$I29*$AJ29*$AS29*$AT29,
AND(AJ29&gt;0,OR($G29="Fuel Use",$G29="Custom Fuel")), $N29*$AJ29*$AS29*$AT29*1000,
AND(AJ29&gt;0,$G29="Custom Vehicle"),$DA29*$AJ29*$AS29*$AT29*1000,
AND(AJ29&gt;0,AND($G29&lt;&gt;"Custom Vehicle",$CZ29="Weight Distance (e.g. Freight Transport)")),$DA29*$AJ29*$AS29*$AT29*1000,
AND(AJ29&gt;0,AND($G29&lt;&gt;"Custom Vehicle",$CZ29="Passenger Distance (e.g. Public Transport)")), $DA29*$AJ29*$AS29*$AT29*1000),"")</f>
        <v/>
      </c>
      <c r="U29" s="78" t="str">
        <f t="shared" ca="1" si="47"/>
        <v/>
      </c>
      <c r="V29" s="161" t="str" cm="1">
        <f t="array" aca="1" ref="V29" ca="1">IFERROR(_xlfn.IFS(
AND(AD29&gt;0,OR($CZ29="Fuel Use",$CZ29="Custom Fuel",$CZ29="Fuel Use and Vehicle Distance")),($N29*$AD29*$AO29*$AP29),
AND(AD29&gt;0,$G29="Custom Vehicle"),$DA29*$AD29*$AO29*$AP29,
AND(AD29&gt;0,$CZ29="Vehicle Distance (e.g. Public or Freight Transport)"),$I29*$AD29*$AM29*$AN29,
AND(AD29&gt;0,$CZ29="Weight Distance (e.g. Freight Transport)"),($I29*$K29*$AD29*$AO29*$AP29),
AND(AD29&gt;0,$CZ29="Passenger Distance (e.g. Public Transport)"),$I29*$L29*$AD29*$AO29*$AP29,
AND(AD29&gt;0,$CZ29="Vehicle Distance (e.g. Road Transport)"),($I29*$AD29*$AO29*$AP29)),"")</f>
        <v/>
      </c>
      <c r="W29" s="164" t="str" cm="1">
        <f t="array" aca="1" ref="W29" ca="1">IFERROR(_xlfn.IFS(AND(ISNUMBER(R29),AA29=0),AA29&amp;" "&amp;"("&amp;AB29&amp;" CO2/"&amp;AC29&amp;")",AND(ISNUMBER(R29),AA29&gt;0),ROUND(AA29,INT(3-LOG(AA29)))&amp;" "&amp;"("&amp;AB29&amp;" CO2/"&amp;AC29&amp;")"),"")</f>
        <v/>
      </c>
      <c r="X29" s="164" t="str" cm="1">
        <f t="array" aca="1" ref="X29" ca="1">IFERROR(_xlfn.IFS(AND(ISNUMBER(S29), AG29=0),AG29&amp;" "&amp;"("&amp;AH29&amp;" CH4/"&amp;AI29&amp;")",AND(ISNUMBER(S29), AG29&gt;0),ROUND(AG29,INT(3-LOG(AG29)))&amp;" "&amp;"("&amp;AH29&amp;" CH4/"&amp;AI29&amp;")"),"")</f>
        <v/>
      </c>
      <c r="Y29" s="164" t="str" cm="1">
        <f t="array" aca="1" ref="Y29" ca="1">IFERROR(_xlfn.IFS(AND(ISNUMBER(T29), AJ29=0),AJ29&amp;" "&amp;"("&amp;AK29&amp;" CH4/"&amp;AL29&amp;")",AND(ISNUMBER(T29), AJ29&gt;0),ROUND(AJ29,INT(3-LOG(AJ29)))&amp;" "&amp;"("&amp;AK29&amp;" N2O/"&amp;AL29&amp;")"),"")</f>
        <v/>
      </c>
      <c r="Z29" s="245" t="str" cm="1">
        <f t="array" aca="1" ref="Z29" ca="1">IFERROR(_xlfn.IFS(AND(ISNUMBER(V29),AD29=0),AD29&amp;" "&amp;"("&amp;AE29&amp;" CO2/"&amp;AF29&amp;")",AND(ISNUMBER(V29),AD29&gt;0),ROUND(AD29,INT(3-LOG(AD29)))&amp;" "&amp;"("&amp;AE29&amp;" CO2/"&amp;AF29&amp;")"),"")</f>
        <v/>
      </c>
      <c r="AA29" s="240" t="str" cm="1">
        <f t="array" aca="1" ref="AA29" ca="1">IFERROR(_xlfn.IFS(
OR($G29="Fuel Use",$G29="Fuel Use and Vehicle Distance"),VLOOKUP($M29,INDIRECT("Ref_EF_ByFuel"&amp;"_"&amp;$C29),3,0),
$G29="Vehicle Distance (e.g. Road Transport)",VLOOKUP($H29,INDIRECT("Ref_EF_Vehicle_Distance"&amp;"_"&amp;$C29),3,0),
$G29="Vehicle Distance (e.g. Public or Freight Transport)",VLOOKUP($H29,INDIRECT("Ref_EF_Vehicle_Distance_S3"&amp;"_"&amp;$C29),3,0),
$G29="Custom Vehicle",VLOOKUP($H29,Tbl_vehical_Settings,2,0),
$G29="Custom Fuel",VLOOKUP($M29,Tbl_Fuel_Settings,2,0),
$G29="Weight Distance (e.g. Freight Transport)",VLOOKUP($H29,INDIRECT("Ref_EF_Weight_Distance"&amp;"_"&amp;$C29),3,0),
$G29="Passenger Distance (e.g. Public Transport)",VLOOKUP($H29,INDIRECT("Ref_EF_Public_Transport"&amp;"_"&amp;$C29),3,0)),"")</f>
        <v/>
      </c>
      <c r="AB29" s="31" t="str" cm="1">
        <f t="array" aca="1" ref="AB29" ca="1">IFERROR(_xlfn.IFS(
OR($G29="Fuel Use",$G29="Fuel Use and Vehicle Distance"),VLOOKUP($M29,INDIRECT("Ref_EF_ByFuel"&amp;"_"&amp;$C29),5,0),
$G29="Vehicle Distance (e.g. Road Transport)",VLOOKUP($H29,INDIRECT("Ref_EF_Vehicle_Distance"&amp;"_"&amp;$C29),5,0),
$G29="Vehicle Distance (e.g. Public or Freight Transport)",VLOOKUP($H29,INDIRECT("Ref_EF_Vehicle_Distance_S3"&amp;"_"&amp;$C29),5,0),
$G29="Custom Vehicle",VLOOKUP($H29,Tbl_vehical_Settings,6,0),
$G29="Custom Fuel",VLOOKUP($M29,Tbl_Fuel_Settings,6,0),
$G29="Weight Distance (e.g. Freight Transport)",VLOOKUP($H29,INDIRECT("Ref_EF_Weight_Distance"&amp;"_"&amp;$C29),5,0),
$G29="Passenger Distance (e.g. Public Transport)",VLOOKUP($H29,INDIRECT("Ref_EF_Public_Transport"&amp;"_"&amp;$C29),5,0)),"")</f>
        <v/>
      </c>
      <c r="AC29" s="31" t="str" cm="1">
        <f t="array" aca="1" ref="AC29" ca="1">IFERROR(_xlfn.IFS(
OR($G29="Fuel Use",$G29="Fuel Use and Vehicle Distance"),VLOOKUP($M29,INDIRECT("Ref_EF_ByFuel"&amp;"_"&amp;$C29),6,0),
$G29="Vehicle Distance (e.g. Road Transport)",VLOOKUP($H29,INDIRECT("Ref_EF_Vehicle_Distance"&amp;"_"&amp;$C29),6,0),
$G29="Vehicle Distance (e.g. Public or Freight Transport)",VLOOKUP($H29,INDIRECT("Ref_EF_Vehicle_Distance_S3"&amp;"_"&amp;$C29),6,0),
$G29="Custom Vehicle",VLOOKUP($H29,Tbl_vehical_Settings,7,0),
$G29="Custom Fuel",VLOOKUP($M29,Tbl_Fuel_Settings,7,0),
$G29="Weight Distance (e.g. Freight Transport)",VLOOKUP($H29,INDIRECT("Ref_EF_Weight_Distance"&amp;"_"&amp;$C29),6,0),
$G29="Passenger Distance (e.g. Public Transport)",VLOOKUP($H29,INDIRECT("Ref_EF_Public_Transport"&amp;"_"&amp;$C29),6,0)),"")</f>
        <v/>
      </c>
      <c r="AD29" s="31" t="str" cm="1">
        <f t="array" aca="1" ref="AD29" ca="1">IFERROR(_xlfn.IFS(
OR($G29="Fuel Use",$G29="Fuel Use and Vehicle Distance"),VLOOKUP($M29,INDIRECT("Ref_EF_ByFuel"&amp;"_"&amp;$C29),4,0),
$G29="Vehicle Distance (e.g. Road Transport)",VLOOKUP($H29,INDIRECT("Ref_EF_Vehicle_Distance"&amp;"_"&amp;$C29),4,0),
$G29="Vehicle Distance (e.g. Public or Freight Transport)",VLOOKUP($H29,INDIRECT("Ref_EF_Vehicle_Distance_S3"&amp;"_"&amp;$C29),4,0),
$G29="Custom Vehicle",VLOOKUP($H29,Tbl_vehical_Settings,5,0),
$G29="Custom Fuel",VLOOKUP($M29,Tbl_Fuel_Settings,5,0),
$G29="Weight Distance (e.g. Freight Transport)",VLOOKUP($H29,INDIRECT("Ref_EF_Weight_Distance"&amp;"_"&amp;$C29),4,0),
$G29="Passenger Distance (e.g. Public Transport)",VLOOKUP($H29,INDIRECT("Ref_EF_Public_Transport"&amp;"_"&amp;$C29),4,0)),"")</f>
        <v/>
      </c>
      <c r="AE29" s="31" t="str" cm="1">
        <f t="array" aca="1" ref="AE29" ca="1">IFERROR(_xlfn.IFS(
OR($G29="Fuel Use",$G29="Fuel Use and Vehicle Distance"),VLOOKUP($M29,INDIRECT("Ref_EF_ByFuel"&amp;"_"&amp;$C29),5,0),
$G29="Vehicle Distance (e.g. Road Transport)",VLOOKUP($H29,INDIRECT("Ref_EF_Vehicle_Distance"&amp;"_"&amp;$C29),5,0),
$G29="Vehicle Distance (e.g. Public or Freight Transport)",VLOOKUP($H29,INDIRECT("Ref_EF_Vehicle_Distance_S3"&amp;"_"&amp;$C29),5,0),
$G29="Custom Vehicle",VLOOKUP($H29,Tbl_vehical_Settings,6,0),
$G29="Custom Fuel",VLOOKUP($M29,Tbl_Fuel_Settings,6,0),
$G29="Weight Distance (e.g. Freight Transport)",VLOOKUP($H29,INDIRECT("Ref_EF_Weight_Distance"&amp;"_"&amp;$C29),5,0),
$G29="Passenger Distance (e.g. Public Transport)",VLOOKUP($H29,INDIRECT("Ref_EF_Public_Transport"&amp;"_"&amp;$C29),5,0)),"")</f>
        <v/>
      </c>
      <c r="AF29" s="31" t="str" cm="1">
        <f t="array" aca="1" ref="AF29" ca="1">IFERROR(_xlfn.IFS(
OR($G29="Fuel Use",$G29="Fuel Use and Vehicle Distance"),VLOOKUP($M29,INDIRECT("Ref_EF_ByFuel"&amp;"_"&amp;$C29),6,0),
$G29="Vehicle Distance (e.g. Road Transport)",VLOOKUP($H29,INDIRECT("Ref_EF_Vehicle_Distance"&amp;"_"&amp;$C29),6,0),
$G29="Vehicle Distance (e.g. Public or Freight Transport)",VLOOKUP($H29,INDIRECT("Ref_EF_Vehicle_Distance_S3"&amp;"_"&amp;$C29),6,0),
$G29="Custom Vehicle",VLOOKUP($H29,Tbl_vehical_Settings,7,0),
$G29="Custom Fuel",VLOOKUP($M29,Tbl_Fuel_Settings,7,0),
$G29="Weight Distance (e.g. Freight Transport)",VLOOKUP($H29,INDIRECT("Ref_EF_Weight_Distance"&amp;"_"&amp;$C29),6,0),
$G29="Passenger Distance (e.g. Public Transport)",VLOOKUP($H29,INDIRECT("Ref_EF_Public_Transport"&amp;"_"&amp;$C29),6,0)),"")</f>
        <v/>
      </c>
      <c r="AG29" s="31" t="str" cm="1">
        <f t="array" aca="1" ref="AG29" ca="1">IFERROR(_xlfn.IFS(
AND($G29="Fuel Use",$E29&lt;&gt;"Road"),VLOOKUP($H29,INDIRECT("Ref_EF_ByFuel_CH4"&amp;"_"&amp;$C29),3,0),
$G29="Vehicle Distance (e.g. Road Transport)",VLOOKUP($H29,INDIRECT("Ref_EF_Vehicle_Distance"&amp;"_"&amp;$C29),7,0),
$G29="Vehicle Distance (e.g. Public or Freight Transport)",VLOOKUP($H29,INDIRECT("Ref_EF_Vehicle_Distance_S3"&amp;"_"&amp;$C29),7,0),
$G29="Fuel Use and Vehicle Distance",VLOOKUP($H29,INDIRECT("Ref_EF_Fuel_Vehicle_Distance"&amp;"_"&amp;$C29),3,0),
$G29="Custom Vehicle",VLOOKUP($H29,Tbl_vehical_Settings,3,0),
$G29="Custom Fuel",VLOOKUP($M29,Tbl_Fuel_Settings,3,0),
$G29="Weight Distance (e.g. Freight Transport)",VLOOKUP($H29,INDIRECT("Ref_EF_Weight_Distance_CH4"&amp;"_"&amp;$C29),3,0),
$G29="Passenger Distance (e.g. Public Transport)",VLOOKUP($H29,INDIRECT("Ref_EF_Public_Transport_CH4"&amp;"_"&amp;$C29),7,0)),"")</f>
        <v/>
      </c>
      <c r="AH29" s="31" t="str" cm="1">
        <f t="array" aca="1" ref="AH29" ca="1">IFERROR(_xlfn.IFS(
AND($G29="Fuel Use",$E29&lt;&gt;"Road"),VLOOKUP($H29,INDIRECT("Ref_EF_ByFuel_CH4"&amp;"_"&amp;$C29),4,0),
$G29="Vehicle Distance (e.g. Road Transport)",VLOOKUP($H29,INDIRECT("Ref_EF_Vehicle_Distance"&amp;"_"&amp;$C29),8,0),
$G29="Vehicle Distance (e.g. Public or Freight Transport)",VLOOKUP($H29,INDIRECT("Ref_EF_Vehicle_Distance_S3"&amp;"_"&amp;$C29),8,0),
$G29="Fuel Use and Vehicle Distance",VLOOKUP($H29,INDIRECT("Ref_EF_Fuel_Vehicle_Distance"&amp;"_"&amp;$C29),4,0),
$G29="Custom Vehicle",VLOOKUP($H29,Tbl_vehical_Settings,6,0),
$G29="Custom Fuel",VLOOKUP($M29,Tbl_Fuel_Settings,6,0),
$G29="Weight Distance (e.g. Freight Transport)",VLOOKUP($H29,INDIRECT("Ref_EF_Weight_Distance_CH4"&amp;"_"&amp;$C29),4,0),
$G29="Passenger Distance (e.g. Public Transport)",VLOOKUP($H29,INDIRECT("Ref_EF_Public_Transport_CH4"&amp;"_"&amp;$C29),8,0)),"")</f>
        <v/>
      </c>
      <c r="AI29" s="31" t="str" cm="1">
        <f t="array" aca="1" ref="AI29" ca="1">IFERROR(_xlfn.IFS(
AND($G29="Fuel Use",$E29&lt;&gt;"Road"),VLOOKUP($H29,INDIRECT("Ref_EF_ByFuel_CH4"&amp;"_"&amp;$C29),5,0),
$G29="Vehicle Distance (e.g. Road Transport)",VLOOKUP($H29,INDIRECT("Ref_EF_Vehicle_Distance"&amp;"_"&amp;$C29),9,0),
$G29="Vehicle Distance (e.g. Public or Freight Transport)",VLOOKUP($H29,INDIRECT("Ref_EF_Vehicle_Distance_S3"&amp;"_"&amp;$C29),9,0),
$G29="Fuel Use and Vehicle Distance",VLOOKUP($H29,INDIRECT("Ref_EF_Fuel_Vehicle_Distance"&amp;"_"&amp;$C29),5,0),
$G29="Custom Vehicle",VLOOKUP($H29,Tbl_vehical_Settings,7,0),
$G29="Custom Fuel",VLOOKUP($M29,Tbl_Fuel_Settings,7,0),
$G29="Weight Distance (e.g. Freight Transport)",VLOOKUP($H29,INDIRECT("Ref_EF_Weight_Distance_CH4"&amp;"_"&amp;$C29),5,0),
$G29="Passenger Distance (e.g. Public Transport)",VLOOKUP($H29,INDIRECT("Ref_EF_Public_Transport_CH4"&amp;"_"&amp;$C29),9,0)),"")</f>
        <v/>
      </c>
      <c r="AJ29" s="31" t="str" cm="1">
        <f t="array" aca="1" ref="AJ29" ca="1">IFERROR(_xlfn.IFS(
AND($G29="Fuel Use",$E29&lt;&gt;"Road"),VLOOKUP($H29,INDIRECT("Ref_EF_ByFuel_CH4"&amp;"_"&amp;$C29),6,0),
$G29="Vehicle Distance (e.g. Road Transport)",VLOOKUP($H29,INDIRECT("Ref_EF_Vehicle_Distance"&amp;"_"&amp;$C29),10,0),
$G29="Vehicle Distance (e.g. Public or Freight Transport)",VLOOKUP($H29,INDIRECT("Ref_EF_Vehicle_Distance_S3"&amp;"_"&amp;$C29),10,0),
$G29="Fuel Use and Vehicle Distance",VLOOKUP($H29,INDIRECT("Ref_EF_Fuel_Vehicle_Distance"&amp;"_"&amp;$C29),6,0),
$G29="Custom Vehicle",VLOOKUP($H29,Tbl_vehical_Settings,4,0),
$G29="Custom Fuel",VLOOKUP($M29,Tbl_Fuel_Settings,4,0),
$G29="Weight Distance (e.g. Freight Transport)",VLOOKUP($H29,INDIRECT("Ref_EF_Weight_Distance_CH4"&amp;"_"&amp;$C29),6,0),
$G29="Passenger Distance (e.g. Public Transport)",VLOOKUP($H29,INDIRECT("Ref_EF_Public_Transport_CH4"&amp;"_"&amp;$C29),10,0)),"")</f>
        <v/>
      </c>
      <c r="AK29" s="31" t="str" cm="1">
        <f t="array" aca="1" ref="AK29" ca="1">IFERROR(_xlfn.IFS(
AND($G29="Fuel Use",$E29&lt;&gt;"Road"),VLOOKUP($H29,INDIRECT("Ref_EF_ByFuel_CH4"&amp;"_"&amp;$C29),7,0),
$G29="Vehicle Distance (e.g. Road Transport)",VLOOKUP($H29,INDIRECT("Ref_EF_Vehicle_Distance"&amp;"_"&amp;$C29),11,0),
$G29="Vehicle Distance (e.g. Public or Freight Transport)",VLOOKUP($H29,INDIRECT("Ref_EF_Vehicle_Distance_S3"&amp;"_"&amp;$C29),11,0),
$G29="Fuel Use and Vehicle Distance",VLOOKUP($H29,INDIRECT("Ref_EF_Fuel_Vehicle_Distance"&amp;"_"&amp;$C29),7,0),
$G29="Custom Vehicle",VLOOKUP($H29,Tbl_vehical_Settings,6,0),
$G29="Custom Fuel",VLOOKUP($M29,Tbl_Fuel_Settings,6,0),
$G29="Weight Distance (e.g. Freight Transport)",VLOOKUP($H29,INDIRECT("Ref_EF_Weight_Distance_CH4"&amp;"_"&amp;$C29),7,0),
$G29="Passenger Distance (e.g. Public Transport)",VLOOKUP($H29,INDIRECT("Ref_EF_Public_Transport_CH4"&amp;"_"&amp;$C29),11,0)),"")</f>
        <v/>
      </c>
      <c r="AL29" s="31" t="str" cm="1">
        <f t="array" aca="1" ref="AL29" ca="1">IFERROR(_xlfn.IFS(
AND($G29="Fuel Use",$E29&lt;&gt;"Road"),VLOOKUP($H29,INDIRECT("Ref_EF_ByFuel_CH4"&amp;"_"&amp;$C29),8,0),
$G29="Vehicle Distance (e.g. Road Transport)",VLOOKUP($H29,INDIRECT("Ref_EF_Vehicle_Distance"&amp;"_"&amp;$C29),12,0),
$G29="Vehicle Distance (e.g. Public or Freight Transport)",VLOOKUP($H29,INDIRECT("Ref_EF_Vehicle_Distance_S3"&amp;"_"&amp;$C29),12,0),
$G29="Fuel Use and Vehicle Distance",VLOOKUP($H29,INDIRECT("Ref_EF_Fuel_Vehicle_Distance"&amp;"_"&amp;$C29),8,0),
$G29="Custom Vehicle",VLOOKUP($H29,Tbl_vehical_Settings,7,0),
$G29="Custom Fuel",VLOOKUP($M29,Tbl_Fuel_Settings,7,0),
$G29="Weight Distance (e.g. Freight Transport)",VLOOKUP($H29,INDIRECT("Ref_EF_Weight_Distance_CH4"&amp;"_"&amp;$C29),8,0),
$G29="Passenger Distance (e.g. Public Transport)",VLOOKUP($H29,INDIRECT("Ref_EF_Public_Transport_CH4"&amp;"_"&amp;$C29),12,0)),"")</f>
        <v/>
      </c>
      <c r="AM29" s="31" t="e">
        <f ca="1">INDEX(Ref_Master_Unit_Table,MATCH($AB29,REF_To_Unit,0),MATCH('Reference - Lookup and Unit'!$A$11,Ref_From_Units,0))</f>
        <v>#N/A</v>
      </c>
      <c r="AN29" s="31" t="e">
        <f t="shared" ca="1" si="0"/>
        <v>#N/A</v>
      </c>
      <c r="AO29" s="31" t="e">
        <f ca="1">INDEX(Ref_Master_Unit_Table,MATCH($AE29,REF_To_Unit,0),MATCH('Reference - Lookup and Unit'!$A$11,Ref_From_Units,0))</f>
        <v>#N/A</v>
      </c>
      <c r="AP29" s="31" t="e">
        <f t="shared" ca="1" si="59"/>
        <v>#N/A</v>
      </c>
      <c r="AQ29" s="31" t="e">
        <f ca="1">INDEX(Ref_Master_Unit_Table,MATCH($AH29,REF_To_Unit,0),MATCH('Reference - Lookup and Unit'!$A$11,Ref_From_Units,0))</f>
        <v>#N/A</v>
      </c>
      <c r="AR29" s="31" t="e">
        <f t="shared" ca="1" si="60"/>
        <v>#N/A</v>
      </c>
      <c r="AS29" s="31" t="e">
        <f ca="1">INDEX(Ref_Master_Unit_Table,MATCH($AK29,REF_To_Unit,0),MATCH('Reference - Lookup and Unit'!$A$11,Ref_From_Units,0))</f>
        <v>#N/A</v>
      </c>
      <c r="AT29" s="31" t="e">
        <f t="shared" ca="1" si="61"/>
        <v>#N/A</v>
      </c>
      <c r="AU29" s="31" t="e" cm="1">
        <f t="array" aca="1" ref="AU29"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29" s="31">
        <f t="shared" ca="1" si="48"/>
        <v>27.9</v>
      </c>
      <c r="AW29" s="31">
        <f t="shared" ca="1" si="49"/>
        <v>273</v>
      </c>
      <c r="AX29" s="31" t="e" cm="1">
        <f t="array" aca="1" ref="AX29"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29" s="25" t="e" cm="1">
        <f t="array" ref="AY29">_xlfn.IFS(
AND($E29&lt;&gt;"",$G29="Custom Fuel"),("Settings_Custom_Fuels"),
AND($E29&lt;&gt;"",$G29="Custom vehicle"),("Settings_Custom_Vehicle"),
AND($E29&lt;&gt;"",$G29="Fuel Use"),("Ref_DD_vehicle_FuelUse"&amp;"_"&amp;C29&amp;"_"&amp;E29),
AND($E29&lt;&gt;"",$G29="Fuel Use and Vehicle Distance"),("Ref_DD_Fuel_VehicleDistance"&amp;"_"&amp;C29&amp;"_"&amp;E29),
AND($E29&lt;&gt;"",$G29="Vehicle Distance (e.g. Road Transport)"),("Ref_DD_vehicle_VehicleDistance"&amp;"_"&amp;C29&amp;"_"&amp;E29),
AND($E29&lt;&gt;"",$G29="Weight Distance (e.g. Freight Transport)"),("Ref_DD_vehicle_WeightDistance"&amp;"_"&amp;C29&amp;"_"&amp;E29),
AND($E29&lt;&gt;"",$G29="Vehicle Distance (e.g. Public or Freight Transport)"),("Ref_DD_vehicle_DistanceS3"&amp;"_"&amp;C29),
AND($E29&lt;&gt;"",$G29="Passenger Distance (e.g. Public Transport)"),("Ref_DD_vehicle_Passenger"&amp;"_"&amp;C29&amp;"_"&amp;E29),
AND($E29="",$G29="Fuel Use"),("Ref_DD_vehicle_FuelUse"&amp;"_"&amp;C29),
AND($E29="",OR($G29="Vehicle Distance (e.g. Road Transport)",$G29="Fuel Use and Vehicle Distance")),("Ref_DD_vehicle_VehicleDistance"&amp;"_"&amp;C29),
AND($E29="",$G29="Weight Distance (e.g. Freight Transport)"),("Ref_DD_vehicle_WeightDistance"&amp;"_"&amp;C29),
AND($E29="",$G29="Vehicle Distance (e.g. Public or Freight Transport)"),("Ref_DD_vehicle_DistanceS3"&amp;"_"&amp;C29),
AND($E29="",$G29="Passenger Distance (e.g. Public Transport)"),("Ref_DD_vehicle_Passenger"&amp;"_"&amp;C29))</f>
        <v>#N/A</v>
      </c>
      <c r="AZ29" s="25" t="b">
        <f t="shared" ca="1" si="4"/>
        <v>0</v>
      </c>
      <c r="BA29" s="25" t="str">
        <f t="shared" si="5"/>
        <v/>
      </c>
      <c r="BB29" s="25" t="str">
        <f t="shared" si="6"/>
        <v/>
      </c>
      <c r="BC29" s="25" t="str">
        <f t="shared" si="50"/>
        <v/>
      </c>
      <c r="BD29" s="25" t="str">
        <f t="shared" si="51"/>
        <v/>
      </c>
      <c r="BE29" s="25" t="str">
        <f t="shared" si="52"/>
        <v/>
      </c>
      <c r="BF29" s="25" t="str">
        <f t="shared" si="53"/>
        <v/>
      </c>
      <c r="BG29" s="25" t="str">
        <f t="shared" si="7"/>
        <v/>
      </c>
      <c r="BH29" s="25" t="str">
        <f t="shared" si="8"/>
        <v/>
      </c>
      <c r="BI29" s="25" t="str">
        <f t="shared" si="54"/>
        <v/>
      </c>
      <c r="BJ29" s="25" t="str">
        <f t="shared" si="55"/>
        <v/>
      </c>
      <c r="BK29" s="25" t="str">
        <f t="shared" si="56"/>
        <v/>
      </c>
      <c r="BL29" s="25" t="str">
        <f t="shared" si="57"/>
        <v/>
      </c>
      <c r="BM29" s="25" t="str">
        <f t="shared" si="9"/>
        <v/>
      </c>
      <c r="BN29" s="25" t="str">
        <f t="shared" ca="1" si="10"/>
        <v/>
      </c>
      <c r="BO29" s="25" t="str">
        <f t="shared" si="11"/>
        <v/>
      </c>
      <c r="BP29" s="25" t="str">
        <f t="shared" si="12"/>
        <v/>
      </c>
      <c r="BQ29" s="25" t="str">
        <f t="shared" si="13"/>
        <v/>
      </c>
      <c r="BR29" s="25" t="str">
        <f t="shared" si="14"/>
        <v/>
      </c>
      <c r="BS29" s="25" t="str">
        <f t="shared" si="15"/>
        <v/>
      </c>
      <c r="BT29" s="25" t="str">
        <f t="shared" si="16"/>
        <v/>
      </c>
      <c r="BU29" s="25" t="str">
        <f t="shared" si="17"/>
        <v/>
      </c>
      <c r="BV29" s="25" t="str">
        <f t="shared" si="18"/>
        <v/>
      </c>
      <c r="BW29" s="25" t="str">
        <f t="shared" si="19"/>
        <v/>
      </c>
      <c r="BX29" s="25" t="str">
        <f t="shared" si="20"/>
        <v/>
      </c>
      <c r="BY29" s="25" t="str">
        <f t="shared" si="21"/>
        <v/>
      </c>
      <c r="BZ29" s="25" t="str">
        <f t="shared" si="22"/>
        <v/>
      </c>
      <c r="CA29" s="25" t="str">
        <f t="shared" si="23"/>
        <v/>
      </c>
      <c r="CB29" s="25" t="str">
        <f t="shared" si="24"/>
        <v/>
      </c>
      <c r="CC29" s="25" t="str">
        <f t="shared" si="25"/>
        <v/>
      </c>
      <c r="CD29" s="25" t="str">
        <f t="shared" si="26"/>
        <v/>
      </c>
      <c r="CE29" s="25" t="str">
        <f t="shared" si="27"/>
        <v/>
      </c>
      <c r="CF29" s="25" t="str">
        <f t="shared" si="28"/>
        <v/>
      </c>
      <c r="CG29" s="25" t="str">
        <f t="shared" si="29"/>
        <v/>
      </c>
      <c r="CH29" s="25" t="str">
        <f t="shared" si="30"/>
        <v/>
      </c>
      <c r="CI29" s="25" t="str">
        <f t="shared" si="31"/>
        <v/>
      </c>
      <c r="CJ29" s="25" t="str">
        <f t="shared" si="32"/>
        <v/>
      </c>
      <c r="CK29" s="25" t="str">
        <f t="shared" si="33"/>
        <v/>
      </c>
      <c r="CL29" s="25" t="str">
        <f t="shared" si="34"/>
        <v/>
      </c>
      <c r="CM29" s="25" t="str">
        <f t="shared" si="35"/>
        <v/>
      </c>
      <c r="CN29" s="25" t="str">
        <f t="shared" si="36"/>
        <v/>
      </c>
      <c r="CO29" s="25" t="str">
        <f t="shared" si="37"/>
        <v/>
      </c>
      <c r="CP29" s="25" t="str">
        <f t="shared" si="38"/>
        <v/>
      </c>
      <c r="CQ29" s="25" t="str">
        <f t="shared" si="39"/>
        <v/>
      </c>
      <c r="CR29" s="25" t="str">
        <f t="shared" si="40"/>
        <v/>
      </c>
      <c r="CS29" s="25" t="str">
        <f t="shared" si="41"/>
        <v/>
      </c>
      <c r="CT29" s="25" t="str">
        <f t="shared" si="42"/>
        <v/>
      </c>
      <c r="CU29" s="25" t="str">
        <f t="shared" si="43"/>
        <v/>
      </c>
      <c r="CV29" s="25" t="str">
        <f t="shared" si="44"/>
        <v/>
      </c>
      <c r="CW29" s="25" t="str">
        <f t="shared" si="45"/>
        <v/>
      </c>
      <c r="CX29" s="25" t="str" cm="1">
        <f t="array" ref="CX29">_xlfn.IFNA(_xlfn.IFS(
$G29="Weight Distance (e.g. Freight Transport)","Ref_DD_WeightDistanceUnits",
$G29="Passenger Distance (e.g. Public Transport)","Ref_DD_PasengerDistanceUnits",
$G29="Vehicle Distance (e.g. Road Transport)", "Ref_DD_DistanceUnit",
$G29="Vehicle Distance (e.g. Public or Freight Transport)","Ref_DD_DistanceUnit",
$G29="Fuel Use and Vehicle Distance", "Ref_DD_DistanceUnit",
$G29="Custom Vehicle",VLOOKUP($H29,'2. Settings'!$B$39:$I$54,8,FALSE)),"")</f>
        <v/>
      </c>
      <c r="CY29" s="27" t="str">
        <f ca="1">IF(AND(ISERROR(#REF!*$AU29)=TRUE,ISERROR((S29/1000)*$AV29)=TRUE,ISERROR((T29/1000)*$AW29)=FALSE),((T29/1000)*$AW29),"")</f>
        <v/>
      </c>
      <c r="CZ29" s="27" cm="1">
        <f t="array" ref="CZ29">IFERROR(_xlfn.IFS(
AND($G29="Custom vehicle",OR($J29="Passenger Mile",$J29="Passenger Kilometer")),"Passenger Distance (e.g. Public Transport)",
AND($G29="Custom vehicle",OR($J29="Tonne Mile",$J29="Tonne Kilometer",$J29="Short Ton Kilometer",$J29="Short Ton Mile")),"Weight Distance (e.g. Freight Transport)",
AND($G29="Custom vehicle",OR($J29="Mile",$J29="Kilometer")),"Vehicle Distance (e.g. Road Transport)",
$G29&lt;&gt;"Custom vehicle",$G29),"")</f>
        <v>0</v>
      </c>
      <c r="DA29" s="27" t="str" cm="1">
        <f t="array" ref="DA29">IFERROR(_xlfn.IFS(OR(J29="Tonne Kilometer",J29="Tonne Mile",J29="Short Ton Mile",J29="Short Ton Kilometer"),I29*K29,OR(J29="Passenger Kilometer",J29="Passenger Mile"),I29*L29,OR(J29="Kilometer",J29="Mile"),$I29),"")</f>
        <v/>
      </c>
    </row>
    <row r="30" spans="2:105" x14ac:dyDescent="0.25">
      <c r="B30" s="244"/>
      <c r="C30" s="71" t="str" cm="1">
        <f t="array" ref="C30">IFERROR(_xlfn.IFS($D30="Other", D30&amp;"_" &amp;Ref_Other_to,OR($D30="UK", $D30="US"),$D30),"")</f>
        <v/>
      </c>
      <c r="D30" s="71"/>
      <c r="E30" s="71"/>
      <c r="F30" s="71"/>
      <c r="G30" s="72"/>
      <c r="H30" s="72"/>
      <c r="I30" s="73"/>
      <c r="J30" s="73"/>
      <c r="K30" s="73"/>
      <c r="L30" s="73"/>
      <c r="M30" s="74"/>
      <c r="N30" s="75"/>
      <c r="O30" s="71"/>
      <c r="P30" s="165" t="str">
        <f t="shared" si="58"/>
        <v/>
      </c>
      <c r="Q30" s="166" t="str">
        <f t="shared" si="46"/>
        <v/>
      </c>
      <c r="R30" s="76" t="str" cm="1">
        <f t="array" aca="1" ref="R30" ca="1">IFERROR(_xlfn.IFS(
AND(AA30&gt;0, OR($G30="Fuel Use",$G30="Custom Fuel")),$N30*$AA30*$AM30*$AN30,
AND(AA30&gt;0,$CZ30="Vehicle Distance (e.g. Road Transport)"),$I30*$AA30*$AM30*$AN30,
AND(AA30&gt;0,$CZ30="Vehicle Distance (e.g. Public or Freight Transport)"),$I30*$AA30*$AM30*$AN30,
AND(AA30&gt;0,$CZ30="Fuel Use and Vehicle Distance"),$N30*$AA30*$AM30*$AN30,
AND(AA30&gt;0,$CZ30="Passenger Distance (e.g. Public Transport)"),$DA30*$AA30*$AM30*$AN30,
AND(AA30&gt;0,$CZ30="Weight Distance (e.g. Freight Transport)"),$DA30*$AA30*$AM30*$AN30),"")</f>
        <v/>
      </c>
      <c r="S30" s="77" t="str" cm="1">
        <f t="array" aca="1" ref="S30" ca="1">IFERROR(_xlfn.IFS(
AND(AG30&gt;-1, $G30="Fuel Use and Vehicle Distance"),$I30*$AG30*$AQ30*$AR30,
AND(AG30&gt;-1, $G30="Vehicle Distance (e.g. Road Transport)"),$I30*$AG30*$AQ30*$AR30,
AND(AG30&gt;-1, $CZ30="Vehicle Distance (e.g. Public or Freight Transport)"),$I30*$AG30*$AQ30*$AR30,
AND(AG30&gt;-1, OR($G30="Fuel Use",$G30="Custom Fuel")), $N30*$AG30*$AQ30*$AR30*1000,
AND(AG30&gt;-1, $G30="Custom Vehicle"),$DA30*$AG30*$AQ30*$AR30*1000,
AND(AG30&gt;-1, AND($G30&lt;&gt;"Custom Vehicle",$CZ30="Weight Distance (e.g. Freight Transport)")),$DA30*$AG30*$AQ30*$AR30*1000,
AND(AG30&gt;-1, AND($G30&lt;&gt;"Custom Vehicle",$CZ30="Passenger Distance (e.g. Public Transport)")), $DA30*$AG30*$AQ30*$AR30*1000),"")</f>
        <v/>
      </c>
      <c r="T30" s="77" t="str" cm="1">
        <f t="array" aca="1" ref="T30" ca="1">IFERROR(_xlfn.IFS(
AND(AJ30&gt;0,$G30="Fuel Use and Vehicle Distance"),$I30*$AJ30*$AS30*$AT30,
AND(AJ30&gt;0,$G30="Vehicle Distance (e.g. Road Transport)"),$I30*$AJ30*$AS30*$AT30,
AND(AJ30&gt;0,$G30="Vehicle Distance (e.g. Public or Freight Transport)"),$I30*$AJ30*$AS30*$AT30,
AND(AJ30&gt;0,OR($G30="Fuel Use",$G30="Custom Fuel")), $N30*$AJ30*$AS30*$AT30*1000,
AND(AJ30&gt;0,$G30="Custom Vehicle"),$DA30*$AJ30*$AS30*$AT30*1000,
AND(AJ30&gt;0,AND($G30&lt;&gt;"Custom Vehicle",$CZ30="Weight Distance (e.g. Freight Transport)")),$DA30*$AJ30*$AS30*$AT30*1000,
AND(AJ30&gt;0,AND($G30&lt;&gt;"Custom Vehicle",$CZ30="Passenger Distance (e.g. Public Transport)")), $DA30*$AJ30*$AS30*$AT30*1000),"")</f>
        <v/>
      </c>
      <c r="U30" s="78" t="str">
        <f t="shared" ca="1" si="47"/>
        <v/>
      </c>
      <c r="V30" s="161" t="str" cm="1">
        <f t="array" aca="1" ref="V30" ca="1">IFERROR(_xlfn.IFS(
AND(AD30&gt;0,OR($CZ30="Fuel Use",$CZ30="Custom Fuel",$CZ30="Fuel Use and Vehicle Distance")),($N30*$AD30*$AO30*$AP30),
AND(AD30&gt;0,$G30="Custom Vehicle"),$DA30*$AD30*$AO30*$AP30,
AND(AD30&gt;0,$CZ30="Vehicle Distance (e.g. Public or Freight Transport)"),$I30*$AD30*$AM30*$AN30,
AND(AD30&gt;0,$CZ30="Weight Distance (e.g. Freight Transport)"),($I30*$K30*$AD30*$AO30*$AP30),
AND(AD30&gt;0,$CZ30="Passenger Distance (e.g. Public Transport)"),$I30*$L30*$AD30*$AO30*$AP30,
AND(AD30&gt;0,$CZ30="Vehicle Distance (e.g. Road Transport)"),($I30*$AD30*$AO30*$AP30)),"")</f>
        <v/>
      </c>
      <c r="W30" s="164" t="str" cm="1">
        <f t="array" aca="1" ref="W30" ca="1">IFERROR(_xlfn.IFS(AND(ISNUMBER(R30),AA30=0),AA30&amp;" "&amp;"("&amp;AB30&amp;" CO2/"&amp;AC30&amp;")",AND(ISNUMBER(R30),AA30&gt;0),ROUND(AA30,INT(3-LOG(AA30)))&amp;" "&amp;"("&amp;AB30&amp;" CO2/"&amp;AC30&amp;")"),"")</f>
        <v/>
      </c>
      <c r="X30" s="164" t="str" cm="1">
        <f t="array" aca="1" ref="X30" ca="1">IFERROR(_xlfn.IFS(AND(ISNUMBER(S30), AG30=0),AG30&amp;" "&amp;"("&amp;AH30&amp;" CH4/"&amp;AI30&amp;")",AND(ISNUMBER(S30), AG30&gt;0),ROUND(AG30,INT(3-LOG(AG30)))&amp;" "&amp;"("&amp;AH30&amp;" CH4/"&amp;AI30&amp;")"),"")</f>
        <v/>
      </c>
      <c r="Y30" s="164" t="str" cm="1">
        <f t="array" aca="1" ref="Y30" ca="1">IFERROR(_xlfn.IFS(AND(ISNUMBER(T30), AJ30=0),AJ30&amp;" "&amp;"("&amp;AK30&amp;" CH4/"&amp;AL30&amp;")",AND(ISNUMBER(T30), AJ30&gt;0),ROUND(AJ30,INT(3-LOG(AJ30)))&amp;" "&amp;"("&amp;AK30&amp;" N2O/"&amp;AL30&amp;")"),"")</f>
        <v/>
      </c>
      <c r="Z30" s="245" t="str" cm="1">
        <f t="array" aca="1" ref="Z30" ca="1">IFERROR(_xlfn.IFS(AND(ISNUMBER(V30),AD30=0),AD30&amp;" "&amp;"("&amp;AE30&amp;" CO2/"&amp;AF30&amp;")",AND(ISNUMBER(V30),AD30&gt;0),ROUND(AD30,INT(3-LOG(AD30)))&amp;" "&amp;"("&amp;AE30&amp;" CO2/"&amp;AF30&amp;")"),"")</f>
        <v/>
      </c>
      <c r="AA30" s="240" t="str" cm="1">
        <f t="array" aca="1" ref="AA30" ca="1">IFERROR(_xlfn.IFS(
OR($G30="Fuel Use",$G30="Fuel Use and Vehicle Distance"),VLOOKUP($M30,INDIRECT("Ref_EF_ByFuel"&amp;"_"&amp;$C30),3,0),
$G30="Vehicle Distance (e.g. Road Transport)",VLOOKUP($H30,INDIRECT("Ref_EF_Vehicle_Distance"&amp;"_"&amp;$C30),3,0),
$G30="Vehicle Distance (e.g. Public or Freight Transport)",VLOOKUP($H30,INDIRECT("Ref_EF_Vehicle_Distance_S3"&amp;"_"&amp;$C30),3,0),
$G30="Custom Vehicle",VLOOKUP($H30,Tbl_vehical_Settings,2,0),
$G30="Custom Fuel",VLOOKUP($M30,Tbl_Fuel_Settings,2,0),
$G30="Weight Distance (e.g. Freight Transport)",VLOOKUP($H30,INDIRECT("Ref_EF_Weight_Distance"&amp;"_"&amp;$C30),3,0),
$G30="Passenger Distance (e.g. Public Transport)",VLOOKUP($H30,INDIRECT("Ref_EF_Public_Transport"&amp;"_"&amp;$C30),3,0)),"")</f>
        <v/>
      </c>
      <c r="AB30" s="31" t="str" cm="1">
        <f t="array" aca="1" ref="AB30" ca="1">IFERROR(_xlfn.IFS(
OR($G30="Fuel Use",$G30="Fuel Use and Vehicle Distance"),VLOOKUP($M30,INDIRECT("Ref_EF_ByFuel"&amp;"_"&amp;$C30),5,0),
$G30="Vehicle Distance (e.g. Road Transport)",VLOOKUP($H30,INDIRECT("Ref_EF_Vehicle_Distance"&amp;"_"&amp;$C30),5,0),
$G30="Vehicle Distance (e.g. Public or Freight Transport)",VLOOKUP($H30,INDIRECT("Ref_EF_Vehicle_Distance_S3"&amp;"_"&amp;$C30),5,0),
$G30="Custom Vehicle",VLOOKUP($H30,Tbl_vehical_Settings,6,0),
$G30="Custom Fuel",VLOOKUP($M30,Tbl_Fuel_Settings,6,0),
$G30="Weight Distance (e.g. Freight Transport)",VLOOKUP($H30,INDIRECT("Ref_EF_Weight_Distance"&amp;"_"&amp;$C30),5,0),
$G30="Passenger Distance (e.g. Public Transport)",VLOOKUP($H30,INDIRECT("Ref_EF_Public_Transport"&amp;"_"&amp;$C30),5,0)),"")</f>
        <v/>
      </c>
      <c r="AC30" s="31" t="str" cm="1">
        <f t="array" aca="1" ref="AC30" ca="1">IFERROR(_xlfn.IFS(
OR($G30="Fuel Use",$G30="Fuel Use and Vehicle Distance"),VLOOKUP($M30,INDIRECT("Ref_EF_ByFuel"&amp;"_"&amp;$C30),6,0),
$G30="Vehicle Distance (e.g. Road Transport)",VLOOKUP($H30,INDIRECT("Ref_EF_Vehicle_Distance"&amp;"_"&amp;$C30),6,0),
$G30="Vehicle Distance (e.g. Public or Freight Transport)",VLOOKUP($H30,INDIRECT("Ref_EF_Vehicle_Distance_S3"&amp;"_"&amp;$C30),6,0),
$G30="Custom Vehicle",VLOOKUP($H30,Tbl_vehical_Settings,7,0),
$G30="Custom Fuel",VLOOKUP($M30,Tbl_Fuel_Settings,7,0),
$G30="Weight Distance (e.g. Freight Transport)",VLOOKUP($H30,INDIRECT("Ref_EF_Weight_Distance"&amp;"_"&amp;$C30),6,0),
$G30="Passenger Distance (e.g. Public Transport)",VLOOKUP($H30,INDIRECT("Ref_EF_Public_Transport"&amp;"_"&amp;$C30),6,0)),"")</f>
        <v/>
      </c>
      <c r="AD30" s="31" t="str" cm="1">
        <f t="array" aca="1" ref="AD30" ca="1">IFERROR(_xlfn.IFS(
OR($G30="Fuel Use",$G30="Fuel Use and Vehicle Distance"),VLOOKUP($M30,INDIRECT("Ref_EF_ByFuel"&amp;"_"&amp;$C30),4,0),
$G30="Vehicle Distance (e.g. Road Transport)",VLOOKUP($H30,INDIRECT("Ref_EF_Vehicle_Distance"&amp;"_"&amp;$C30),4,0),
$G30="Vehicle Distance (e.g. Public or Freight Transport)",VLOOKUP($H30,INDIRECT("Ref_EF_Vehicle_Distance_S3"&amp;"_"&amp;$C30),4,0),
$G30="Custom Vehicle",VLOOKUP($H30,Tbl_vehical_Settings,5,0),
$G30="Custom Fuel",VLOOKUP($M30,Tbl_Fuel_Settings,5,0),
$G30="Weight Distance (e.g. Freight Transport)",VLOOKUP($H30,INDIRECT("Ref_EF_Weight_Distance"&amp;"_"&amp;$C30),4,0),
$G30="Passenger Distance (e.g. Public Transport)",VLOOKUP($H30,INDIRECT("Ref_EF_Public_Transport"&amp;"_"&amp;$C30),4,0)),"")</f>
        <v/>
      </c>
      <c r="AE30" s="31" t="str" cm="1">
        <f t="array" aca="1" ref="AE30" ca="1">IFERROR(_xlfn.IFS(
OR($G30="Fuel Use",$G30="Fuel Use and Vehicle Distance"),VLOOKUP($M30,INDIRECT("Ref_EF_ByFuel"&amp;"_"&amp;$C30),5,0),
$G30="Vehicle Distance (e.g. Road Transport)",VLOOKUP($H30,INDIRECT("Ref_EF_Vehicle_Distance"&amp;"_"&amp;$C30),5,0),
$G30="Vehicle Distance (e.g. Public or Freight Transport)",VLOOKUP($H30,INDIRECT("Ref_EF_Vehicle_Distance_S3"&amp;"_"&amp;$C30),5,0),
$G30="Custom Vehicle",VLOOKUP($H30,Tbl_vehical_Settings,6,0),
$G30="Custom Fuel",VLOOKUP($M30,Tbl_Fuel_Settings,6,0),
$G30="Weight Distance (e.g. Freight Transport)",VLOOKUP($H30,INDIRECT("Ref_EF_Weight_Distance"&amp;"_"&amp;$C30),5,0),
$G30="Passenger Distance (e.g. Public Transport)",VLOOKUP($H30,INDIRECT("Ref_EF_Public_Transport"&amp;"_"&amp;$C30),5,0)),"")</f>
        <v/>
      </c>
      <c r="AF30" s="31" t="str" cm="1">
        <f t="array" aca="1" ref="AF30" ca="1">IFERROR(_xlfn.IFS(
OR($G30="Fuel Use",$G30="Fuel Use and Vehicle Distance"),VLOOKUP($M30,INDIRECT("Ref_EF_ByFuel"&amp;"_"&amp;$C30),6,0),
$G30="Vehicle Distance (e.g. Road Transport)",VLOOKUP($H30,INDIRECT("Ref_EF_Vehicle_Distance"&amp;"_"&amp;$C30),6,0),
$G30="Vehicle Distance (e.g. Public or Freight Transport)",VLOOKUP($H30,INDIRECT("Ref_EF_Vehicle_Distance_S3"&amp;"_"&amp;$C30),6,0),
$G30="Custom Vehicle",VLOOKUP($H30,Tbl_vehical_Settings,7,0),
$G30="Custom Fuel",VLOOKUP($M30,Tbl_Fuel_Settings,7,0),
$G30="Weight Distance (e.g. Freight Transport)",VLOOKUP($H30,INDIRECT("Ref_EF_Weight_Distance"&amp;"_"&amp;$C30),6,0),
$G30="Passenger Distance (e.g. Public Transport)",VLOOKUP($H30,INDIRECT("Ref_EF_Public_Transport"&amp;"_"&amp;$C30),6,0)),"")</f>
        <v/>
      </c>
      <c r="AG30" s="31" t="str" cm="1">
        <f t="array" aca="1" ref="AG30" ca="1">IFERROR(_xlfn.IFS(
AND($G30="Fuel Use",$E30&lt;&gt;"Road"),VLOOKUP($H30,INDIRECT("Ref_EF_ByFuel_CH4"&amp;"_"&amp;$C30),3,0),
$G30="Vehicle Distance (e.g. Road Transport)",VLOOKUP($H30,INDIRECT("Ref_EF_Vehicle_Distance"&amp;"_"&amp;$C30),7,0),
$G30="Vehicle Distance (e.g. Public or Freight Transport)",VLOOKUP($H30,INDIRECT("Ref_EF_Vehicle_Distance_S3"&amp;"_"&amp;$C30),7,0),
$G30="Fuel Use and Vehicle Distance",VLOOKUP($H30,INDIRECT("Ref_EF_Fuel_Vehicle_Distance"&amp;"_"&amp;$C30),3,0),
$G30="Custom Vehicle",VLOOKUP($H30,Tbl_vehical_Settings,3,0),
$G30="Custom Fuel",VLOOKUP($M30,Tbl_Fuel_Settings,3,0),
$G30="Weight Distance (e.g. Freight Transport)",VLOOKUP($H30,INDIRECT("Ref_EF_Weight_Distance_CH4"&amp;"_"&amp;$C30),3,0),
$G30="Passenger Distance (e.g. Public Transport)",VLOOKUP($H30,INDIRECT("Ref_EF_Public_Transport_CH4"&amp;"_"&amp;$C30),7,0)),"")</f>
        <v/>
      </c>
      <c r="AH30" s="31" t="str" cm="1">
        <f t="array" aca="1" ref="AH30" ca="1">IFERROR(_xlfn.IFS(
AND($G30="Fuel Use",$E30&lt;&gt;"Road"),VLOOKUP($H30,INDIRECT("Ref_EF_ByFuel_CH4"&amp;"_"&amp;$C30),4,0),
$G30="Vehicle Distance (e.g. Road Transport)",VLOOKUP($H30,INDIRECT("Ref_EF_Vehicle_Distance"&amp;"_"&amp;$C30),8,0),
$G30="Vehicle Distance (e.g. Public or Freight Transport)",VLOOKUP($H30,INDIRECT("Ref_EF_Vehicle_Distance_S3"&amp;"_"&amp;$C30),8,0),
$G30="Fuel Use and Vehicle Distance",VLOOKUP($H30,INDIRECT("Ref_EF_Fuel_Vehicle_Distance"&amp;"_"&amp;$C30),4,0),
$G30="Custom Vehicle",VLOOKUP($H30,Tbl_vehical_Settings,6,0),
$G30="Custom Fuel",VLOOKUP($M30,Tbl_Fuel_Settings,6,0),
$G30="Weight Distance (e.g. Freight Transport)",VLOOKUP($H30,INDIRECT("Ref_EF_Weight_Distance_CH4"&amp;"_"&amp;$C30),4,0),
$G30="Passenger Distance (e.g. Public Transport)",VLOOKUP($H30,INDIRECT("Ref_EF_Public_Transport_CH4"&amp;"_"&amp;$C30),8,0)),"")</f>
        <v/>
      </c>
      <c r="AI30" s="31" t="str" cm="1">
        <f t="array" aca="1" ref="AI30" ca="1">IFERROR(_xlfn.IFS(
AND($G30="Fuel Use",$E30&lt;&gt;"Road"),VLOOKUP($H30,INDIRECT("Ref_EF_ByFuel_CH4"&amp;"_"&amp;$C30),5,0),
$G30="Vehicle Distance (e.g. Road Transport)",VLOOKUP($H30,INDIRECT("Ref_EF_Vehicle_Distance"&amp;"_"&amp;$C30),9,0),
$G30="Vehicle Distance (e.g. Public or Freight Transport)",VLOOKUP($H30,INDIRECT("Ref_EF_Vehicle_Distance_S3"&amp;"_"&amp;$C30),9,0),
$G30="Fuel Use and Vehicle Distance",VLOOKUP($H30,INDIRECT("Ref_EF_Fuel_Vehicle_Distance"&amp;"_"&amp;$C30),5,0),
$G30="Custom Vehicle",VLOOKUP($H30,Tbl_vehical_Settings,7,0),
$G30="Custom Fuel",VLOOKUP($M30,Tbl_Fuel_Settings,7,0),
$G30="Weight Distance (e.g. Freight Transport)",VLOOKUP($H30,INDIRECT("Ref_EF_Weight_Distance_CH4"&amp;"_"&amp;$C30),5,0),
$G30="Passenger Distance (e.g. Public Transport)",VLOOKUP($H30,INDIRECT("Ref_EF_Public_Transport_CH4"&amp;"_"&amp;$C30),9,0)),"")</f>
        <v/>
      </c>
      <c r="AJ30" s="31" t="str" cm="1">
        <f t="array" aca="1" ref="AJ30" ca="1">IFERROR(_xlfn.IFS(
AND($G30="Fuel Use",$E30&lt;&gt;"Road"),VLOOKUP($H30,INDIRECT("Ref_EF_ByFuel_CH4"&amp;"_"&amp;$C30),6,0),
$G30="Vehicle Distance (e.g. Road Transport)",VLOOKUP($H30,INDIRECT("Ref_EF_Vehicle_Distance"&amp;"_"&amp;$C30),10,0),
$G30="Vehicle Distance (e.g. Public or Freight Transport)",VLOOKUP($H30,INDIRECT("Ref_EF_Vehicle_Distance_S3"&amp;"_"&amp;$C30),10,0),
$G30="Fuel Use and Vehicle Distance",VLOOKUP($H30,INDIRECT("Ref_EF_Fuel_Vehicle_Distance"&amp;"_"&amp;$C30),6,0),
$G30="Custom Vehicle",VLOOKUP($H30,Tbl_vehical_Settings,4,0),
$G30="Custom Fuel",VLOOKUP($M30,Tbl_Fuel_Settings,4,0),
$G30="Weight Distance (e.g. Freight Transport)",VLOOKUP($H30,INDIRECT("Ref_EF_Weight_Distance_CH4"&amp;"_"&amp;$C30),6,0),
$G30="Passenger Distance (e.g. Public Transport)",VLOOKUP($H30,INDIRECT("Ref_EF_Public_Transport_CH4"&amp;"_"&amp;$C30),10,0)),"")</f>
        <v/>
      </c>
      <c r="AK30" s="31" t="str" cm="1">
        <f t="array" aca="1" ref="AK30" ca="1">IFERROR(_xlfn.IFS(
AND($G30="Fuel Use",$E30&lt;&gt;"Road"),VLOOKUP($H30,INDIRECT("Ref_EF_ByFuel_CH4"&amp;"_"&amp;$C30),7,0),
$G30="Vehicle Distance (e.g. Road Transport)",VLOOKUP($H30,INDIRECT("Ref_EF_Vehicle_Distance"&amp;"_"&amp;$C30),11,0),
$G30="Vehicle Distance (e.g. Public or Freight Transport)",VLOOKUP($H30,INDIRECT("Ref_EF_Vehicle_Distance_S3"&amp;"_"&amp;$C30),11,0),
$G30="Fuel Use and Vehicle Distance",VLOOKUP($H30,INDIRECT("Ref_EF_Fuel_Vehicle_Distance"&amp;"_"&amp;$C30),7,0),
$G30="Custom Vehicle",VLOOKUP($H30,Tbl_vehical_Settings,6,0),
$G30="Custom Fuel",VLOOKUP($M30,Tbl_Fuel_Settings,6,0),
$G30="Weight Distance (e.g. Freight Transport)",VLOOKUP($H30,INDIRECT("Ref_EF_Weight_Distance_CH4"&amp;"_"&amp;$C30),7,0),
$G30="Passenger Distance (e.g. Public Transport)",VLOOKUP($H30,INDIRECT("Ref_EF_Public_Transport_CH4"&amp;"_"&amp;$C30),11,0)),"")</f>
        <v/>
      </c>
      <c r="AL30" s="31" t="str" cm="1">
        <f t="array" aca="1" ref="AL30" ca="1">IFERROR(_xlfn.IFS(
AND($G30="Fuel Use",$E30&lt;&gt;"Road"),VLOOKUP($H30,INDIRECT("Ref_EF_ByFuel_CH4"&amp;"_"&amp;$C30),8,0),
$G30="Vehicle Distance (e.g. Road Transport)",VLOOKUP($H30,INDIRECT("Ref_EF_Vehicle_Distance"&amp;"_"&amp;$C30),12,0),
$G30="Vehicle Distance (e.g. Public or Freight Transport)",VLOOKUP($H30,INDIRECT("Ref_EF_Vehicle_Distance_S3"&amp;"_"&amp;$C30),12,0),
$G30="Fuel Use and Vehicle Distance",VLOOKUP($H30,INDIRECT("Ref_EF_Fuel_Vehicle_Distance"&amp;"_"&amp;$C30),8,0),
$G30="Custom Vehicle",VLOOKUP($H30,Tbl_vehical_Settings,7,0),
$G30="Custom Fuel",VLOOKUP($M30,Tbl_Fuel_Settings,7,0),
$G30="Weight Distance (e.g. Freight Transport)",VLOOKUP($H30,INDIRECT("Ref_EF_Weight_Distance_CH4"&amp;"_"&amp;$C30),8,0),
$G30="Passenger Distance (e.g. Public Transport)",VLOOKUP($H30,INDIRECT("Ref_EF_Public_Transport_CH4"&amp;"_"&amp;$C30),12,0)),"")</f>
        <v/>
      </c>
      <c r="AM30" s="31" t="e">
        <f ca="1">INDEX(Ref_Master_Unit_Table,MATCH($AB30,REF_To_Unit,0),MATCH('Reference - Lookup and Unit'!$A$11,Ref_From_Units,0))</f>
        <v>#N/A</v>
      </c>
      <c r="AN30" s="31" t="e">
        <f t="shared" ca="1" si="0"/>
        <v>#N/A</v>
      </c>
      <c r="AO30" s="31" t="e">
        <f ca="1">INDEX(Ref_Master_Unit_Table,MATCH($AE30,REF_To_Unit,0),MATCH('Reference - Lookup and Unit'!$A$11,Ref_From_Units,0))</f>
        <v>#N/A</v>
      </c>
      <c r="AP30" s="31" t="e">
        <f t="shared" ca="1" si="59"/>
        <v>#N/A</v>
      </c>
      <c r="AQ30" s="31" t="e">
        <f ca="1">INDEX(Ref_Master_Unit_Table,MATCH($AH30,REF_To_Unit,0),MATCH('Reference - Lookup and Unit'!$A$11,Ref_From_Units,0))</f>
        <v>#N/A</v>
      </c>
      <c r="AR30" s="31" t="e">
        <f t="shared" ca="1" si="60"/>
        <v>#N/A</v>
      </c>
      <c r="AS30" s="31" t="e">
        <f ca="1">INDEX(Ref_Master_Unit_Table,MATCH($AK30,REF_To_Unit,0),MATCH('Reference - Lookup and Unit'!$A$11,Ref_From_Units,0))</f>
        <v>#N/A</v>
      </c>
      <c r="AT30" s="31" t="e">
        <f t="shared" ca="1" si="61"/>
        <v>#N/A</v>
      </c>
      <c r="AU30" s="31" t="e" cm="1">
        <f t="array" aca="1" ref="AU30"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30" s="31">
        <f t="shared" ca="1" si="48"/>
        <v>27.9</v>
      </c>
      <c r="AW30" s="31">
        <f t="shared" ca="1" si="49"/>
        <v>273</v>
      </c>
      <c r="AX30" s="31" t="e" cm="1">
        <f t="array" aca="1" ref="AX30"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30" s="25" t="e" cm="1">
        <f t="array" ref="AY30">_xlfn.IFS(
AND($E30&lt;&gt;"",$G30="Custom Fuel"),("Settings_Custom_Fuels"),
AND($E30&lt;&gt;"",$G30="Custom vehicle"),("Settings_Custom_Vehicle"),
AND($E30&lt;&gt;"",$G30="Fuel Use"),("Ref_DD_vehicle_FuelUse"&amp;"_"&amp;C30&amp;"_"&amp;E30),
AND($E30&lt;&gt;"",$G30="Fuel Use and Vehicle Distance"),("Ref_DD_Fuel_VehicleDistance"&amp;"_"&amp;C30&amp;"_"&amp;E30),
AND($E30&lt;&gt;"",$G30="Vehicle Distance (e.g. Road Transport)"),("Ref_DD_vehicle_VehicleDistance"&amp;"_"&amp;C30&amp;"_"&amp;E30),
AND($E30&lt;&gt;"",$G30="Weight Distance (e.g. Freight Transport)"),("Ref_DD_vehicle_WeightDistance"&amp;"_"&amp;C30&amp;"_"&amp;E30),
AND($E30&lt;&gt;"",$G30="Vehicle Distance (e.g. Public or Freight Transport)"),("Ref_DD_vehicle_DistanceS3"&amp;"_"&amp;C30),
AND($E30&lt;&gt;"",$G30="Passenger Distance (e.g. Public Transport)"),("Ref_DD_vehicle_Passenger"&amp;"_"&amp;C30&amp;"_"&amp;E30),
AND($E30="",$G30="Fuel Use"),("Ref_DD_vehicle_FuelUse"&amp;"_"&amp;C30),
AND($E30="",OR($G30="Vehicle Distance (e.g. Road Transport)",$G30="Fuel Use and Vehicle Distance")),("Ref_DD_vehicle_VehicleDistance"&amp;"_"&amp;C30),
AND($E30="",$G30="Weight Distance (e.g. Freight Transport)"),("Ref_DD_vehicle_WeightDistance"&amp;"_"&amp;C30),
AND($E30="",$G30="Vehicle Distance (e.g. Public or Freight Transport)"),("Ref_DD_vehicle_DistanceS3"&amp;"_"&amp;C30),
AND($E30="",$G30="Passenger Distance (e.g. Public Transport)"),("Ref_DD_vehicle_Passenger"&amp;"_"&amp;C30))</f>
        <v>#N/A</v>
      </c>
      <c r="AZ30" s="25" t="b">
        <f t="shared" ca="1" si="4"/>
        <v>0</v>
      </c>
      <c r="BA30" s="25" t="str">
        <f t="shared" si="5"/>
        <v/>
      </c>
      <c r="BB30" s="25" t="str">
        <f t="shared" si="6"/>
        <v/>
      </c>
      <c r="BC30" s="25" t="str">
        <f t="shared" si="50"/>
        <v/>
      </c>
      <c r="BD30" s="25" t="str">
        <f t="shared" si="51"/>
        <v/>
      </c>
      <c r="BE30" s="25" t="str">
        <f t="shared" si="52"/>
        <v/>
      </c>
      <c r="BF30" s="25" t="str">
        <f t="shared" si="53"/>
        <v/>
      </c>
      <c r="BG30" s="25" t="str">
        <f t="shared" si="7"/>
        <v/>
      </c>
      <c r="BH30" s="25" t="str">
        <f t="shared" si="8"/>
        <v/>
      </c>
      <c r="BI30" s="25" t="str">
        <f t="shared" si="54"/>
        <v/>
      </c>
      <c r="BJ30" s="25" t="str">
        <f t="shared" si="55"/>
        <v/>
      </c>
      <c r="BK30" s="25" t="str">
        <f t="shared" si="56"/>
        <v/>
      </c>
      <c r="BL30" s="25" t="str">
        <f t="shared" si="57"/>
        <v/>
      </c>
      <c r="BM30" s="25" t="str">
        <f t="shared" si="9"/>
        <v/>
      </c>
      <c r="BN30" s="25" t="str">
        <f t="shared" ca="1" si="10"/>
        <v/>
      </c>
      <c r="BO30" s="25" t="str">
        <f t="shared" si="11"/>
        <v/>
      </c>
      <c r="BP30" s="25" t="str">
        <f t="shared" si="12"/>
        <v/>
      </c>
      <c r="BQ30" s="25" t="str">
        <f t="shared" si="13"/>
        <v/>
      </c>
      <c r="BR30" s="25" t="str">
        <f t="shared" si="14"/>
        <v/>
      </c>
      <c r="BS30" s="25" t="str">
        <f t="shared" si="15"/>
        <v/>
      </c>
      <c r="BT30" s="25" t="str">
        <f t="shared" si="16"/>
        <v/>
      </c>
      <c r="BU30" s="25" t="str">
        <f t="shared" si="17"/>
        <v/>
      </c>
      <c r="BV30" s="25" t="str">
        <f t="shared" si="18"/>
        <v/>
      </c>
      <c r="BW30" s="25" t="str">
        <f t="shared" si="19"/>
        <v/>
      </c>
      <c r="BX30" s="25" t="str">
        <f t="shared" si="20"/>
        <v/>
      </c>
      <c r="BY30" s="25" t="str">
        <f t="shared" si="21"/>
        <v/>
      </c>
      <c r="BZ30" s="25" t="str">
        <f t="shared" si="22"/>
        <v/>
      </c>
      <c r="CA30" s="25" t="str">
        <f t="shared" si="23"/>
        <v/>
      </c>
      <c r="CB30" s="25" t="str">
        <f t="shared" si="24"/>
        <v/>
      </c>
      <c r="CC30" s="25" t="str">
        <f t="shared" si="25"/>
        <v/>
      </c>
      <c r="CD30" s="25" t="str">
        <f t="shared" si="26"/>
        <v/>
      </c>
      <c r="CE30" s="25" t="str">
        <f t="shared" si="27"/>
        <v/>
      </c>
      <c r="CF30" s="25" t="str">
        <f t="shared" si="28"/>
        <v/>
      </c>
      <c r="CG30" s="25" t="str">
        <f t="shared" si="29"/>
        <v/>
      </c>
      <c r="CH30" s="25" t="str">
        <f t="shared" si="30"/>
        <v/>
      </c>
      <c r="CI30" s="25" t="str">
        <f t="shared" si="31"/>
        <v/>
      </c>
      <c r="CJ30" s="25" t="str">
        <f t="shared" si="32"/>
        <v/>
      </c>
      <c r="CK30" s="25" t="str">
        <f t="shared" si="33"/>
        <v/>
      </c>
      <c r="CL30" s="25" t="str">
        <f t="shared" si="34"/>
        <v/>
      </c>
      <c r="CM30" s="25" t="str">
        <f t="shared" si="35"/>
        <v/>
      </c>
      <c r="CN30" s="25" t="str">
        <f t="shared" si="36"/>
        <v/>
      </c>
      <c r="CO30" s="25" t="str">
        <f t="shared" si="37"/>
        <v/>
      </c>
      <c r="CP30" s="25" t="str">
        <f t="shared" si="38"/>
        <v/>
      </c>
      <c r="CQ30" s="25" t="str">
        <f t="shared" si="39"/>
        <v/>
      </c>
      <c r="CR30" s="25" t="str">
        <f t="shared" si="40"/>
        <v/>
      </c>
      <c r="CS30" s="25" t="str">
        <f t="shared" si="41"/>
        <v/>
      </c>
      <c r="CT30" s="25" t="str">
        <f t="shared" si="42"/>
        <v/>
      </c>
      <c r="CU30" s="25" t="str">
        <f t="shared" si="43"/>
        <v/>
      </c>
      <c r="CV30" s="25" t="str">
        <f t="shared" si="44"/>
        <v/>
      </c>
      <c r="CW30" s="25" t="str">
        <f t="shared" si="45"/>
        <v/>
      </c>
      <c r="CX30" s="25" t="str" cm="1">
        <f t="array" ref="CX30">_xlfn.IFNA(_xlfn.IFS(
$G30="Weight Distance (e.g. Freight Transport)","Ref_DD_WeightDistanceUnits",
$G30="Passenger Distance (e.g. Public Transport)","Ref_DD_PasengerDistanceUnits",
$G30="Vehicle Distance (e.g. Road Transport)", "Ref_DD_DistanceUnit",
$G30="Vehicle Distance (e.g. Public or Freight Transport)","Ref_DD_DistanceUnit",
$G30="Fuel Use and Vehicle Distance", "Ref_DD_DistanceUnit",
$G30="Custom Vehicle",VLOOKUP($H30,'2. Settings'!$B$39:$I$54,8,FALSE)),"")</f>
        <v/>
      </c>
      <c r="CY30" s="27" t="str">
        <f ca="1">IF(AND(ISERROR(#REF!*$AU30)=TRUE,ISERROR((S30/1000)*$AV30)=TRUE,ISERROR((T30/1000)*$AW30)=FALSE),((T30/1000)*$AW30),"")</f>
        <v/>
      </c>
      <c r="CZ30" s="27" cm="1">
        <f t="array" ref="CZ30">IFERROR(_xlfn.IFS(
AND($G30="Custom vehicle",OR($J30="Passenger Mile",$J30="Passenger Kilometer")),"Passenger Distance (e.g. Public Transport)",
AND($G30="Custom vehicle",OR($J30="Tonne Mile",$J30="Tonne Kilometer",$J30="Short Ton Kilometer",$J30="Short Ton Mile")),"Weight Distance (e.g. Freight Transport)",
AND($G30="Custom vehicle",OR($J30="Mile",$J30="Kilometer")),"Vehicle Distance (e.g. Road Transport)",
$G30&lt;&gt;"Custom vehicle",$G30),"")</f>
        <v>0</v>
      </c>
      <c r="DA30" s="27" t="str" cm="1">
        <f t="array" ref="DA30">IFERROR(_xlfn.IFS(OR(J30="Tonne Kilometer",J30="Tonne Mile",J30="Short Ton Mile",J30="Short Ton Kilometer"),I30*K30,OR(J30="Passenger Kilometer",J30="Passenger Mile"),I30*L30,OR(J30="Kilometer",J30="Mile"),$I30),"")</f>
        <v/>
      </c>
    </row>
    <row r="31" spans="2:105" x14ac:dyDescent="0.25">
      <c r="B31" s="244"/>
      <c r="C31" s="71" t="str" cm="1">
        <f t="array" ref="C31">IFERROR(_xlfn.IFS($D31="Other", D31&amp;"_" &amp;Ref_Other_to,OR($D31="UK", $D31="US"),$D31),"")</f>
        <v/>
      </c>
      <c r="D31" s="71"/>
      <c r="E31" s="71"/>
      <c r="F31" s="71"/>
      <c r="G31" s="72"/>
      <c r="H31" s="72"/>
      <c r="I31" s="73"/>
      <c r="J31" s="73"/>
      <c r="K31" s="73"/>
      <c r="L31" s="73"/>
      <c r="M31" s="74"/>
      <c r="N31" s="75"/>
      <c r="O31" s="71"/>
      <c r="P31" s="165" t="str">
        <f t="shared" si="58"/>
        <v/>
      </c>
      <c r="Q31" s="166" t="str">
        <f t="shared" si="46"/>
        <v/>
      </c>
      <c r="R31" s="76" t="str" cm="1">
        <f t="array" aca="1" ref="R31" ca="1">IFERROR(_xlfn.IFS(
AND(AA31&gt;0, OR($G31="Fuel Use",$G31="Custom Fuel")),$N31*$AA31*$AM31*$AN31,
AND(AA31&gt;0,$CZ31="Vehicle Distance (e.g. Road Transport)"),$I31*$AA31*$AM31*$AN31,
AND(AA31&gt;0,$CZ31="Vehicle Distance (e.g. Public or Freight Transport)"),$I31*$AA31*$AM31*$AN31,
AND(AA31&gt;0,$CZ31="Fuel Use and Vehicle Distance"),$N31*$AA31*$AM31*$AN31,
AND(AA31&gt;0,$CZ31="Passenger Distance (e.g. Public Transport)"),$DA31*$AA31*$AM31*$AN31,
AND(AA31&gt;0,$CZ31="Weight Distance (e.g. Freight Transport)"),$DA31*$AA31*$AM31*$AN31),"")</f>
        <v/>
      </c>
      <c r="S31" s="77" t="str" cm="1">
        <f t="array" aca="1" ref="S31" ca="1">IFERROR(_xlfn.IFS(
AND(AG31&gt;-1, $G31="Fuel Use and Vehicle Distance"),$I31*$AG31*$AQ31*$AR31,
AND(AG31&gt;-1, $G31="Vehicle Distance (e.g. Road Transport)"),$I31*$AG31*$AQ31*$AR31,
AND(AG31&gt;-1, $CZ31="Vehicle Distance (e.g. Public or Freight Transport)"),$I31*$AG31*$AQ31*$AR31,
AND(AG31&gt;-1, OR($G31="Fuel Use",$G31="Custom Fuel")), $N31*$AG31*$AQ31*$AR31*1000,
AND(AG31&gt;-1, $G31="Custom Vehicle"),$DA31*$AG31*$AQ31*$AR31*1000,
AND(AG31&gt;-1, AND($G31&lt;&gt;"Custom Vehicle",$CZ31="Weight Distance (e.g. Freight Transport)")),$DA31*$AG31*$AQ31*$AR31*1000,
AND(AG31&gt;-1, AND($G31&lt;&gt;"Custom Vehicle",$CZ31="Passenger Distance (e.g. Public Transport)")), $DA31*$AG31*$AQ31*$AR31*1000),"")</f>
        <v/>
      </c>
      <c r="T31" s="77" t="str" cm="1">
        <f t="array" aca="1" ref="T31" ca="1">IFERROR(_xlfn.IFS(
AND(AJ31&gt;0,$G31="Fuel Use and Vehicle Distance"),$I31*$AJ31*$AS31*$AT31,
AND(AJ31&gt;0,$G31="Vehicle Distance (e.g. Road Transport)"),$I31*$AJ31*$AS31*$AT31,
AND(AJ31&gt;0,$G31="Vehicle Distance (e.g. Public or Freight Transport)"),$I31*$AJ31*$AS31*$AT31,
AND(AJ31&gt;0,OR($G31="Fuel Use",$G31="Custom Fuel")), $N31*$AJ31*$AS31*$AT31*1000,
AND(AJ31&gt;0,$G31="Custom Vehicle"),$DA31*$AJ31*$AS31*$AT31*1000,
AND(AJ31&gt;0,AND($G31&lt;&gt;"Custom Vehicle",$CZ31="Weight Distance (e.g. Freight Transport)")),$DA31*$AJ31*$AS31*$AT31*1000,
AND(AJ31&gt;0,AND($G31&lt;&gt;"Custom Vehicle",$CZ31="Passenger Distance (e.g. Public Transport)")), $DA31*$AJ31*$AS31*$AT31*1000),"")</f>
        <v/>
      </c>
      <c r="U31" s="78" t="str">
        <f t="shared" ca="1" si="47"/>
        <v/>
      </c>
      <c r="V31" s="161" t="str" cm="1">
        <f t="array" aca="1" ref="V31" ca="1">IFERROR(_xlfn.IFS(
AND(AD31&gt;0,OR($CZ31="Fuel Use",$CZ31="Custom Fuel",$CZ31="Fuel Use and Vehicle Distance")),($N31*$AD31*$AO31*$AP31),
AND(AD31&gt;0,$G31="Custom Vehicle"),$DA31*$AD31*$AO31*$AP31,
AND(AD31&gt;0,$CZ31="Vehicle Distance (e.g. Public or Freight Transport)"),$I31*$AD31*$AM31*$AN31,
AND(AD31&gt;0,$CZ31="Weight Distance (e.g. Freight Transport)"),($I31*$K31*$AD31*$AO31*$AP31),
AND(AD31&gt;0,$CZ31="Passenger Distance (e.g. Public Transport)"),$I31*$L31*$AD31*$AO31*$AP31,
AND(AD31&gt;0,$CZ31="Vehicle Distance (e.g. Road Transport)"),($I31*$AD31*$AO31*$AP31)),"")</f>
        <v/>
      </c>
      <c r="W31" s="164" t="str" cm="1">
        <f t="array" aca="1" ref="W31" ca="1">IFERROR(_xlfn.IFS(AND(ISNUMBER(R31),AA31=0),AA31&amp;" "&amp;"("&amp;AB31&amp;" CO2/"&amp;AC31&amp;")",AND(ISNUMBER(R31),AA31&gt;0),ROUND(AA31,INT(3-LOG(AA31)))&amp;" "&amp;"("&amp;AB31&amp;" CO2/"&amp;AC31&amp;")"),"")</f>
        <v/>
      </c>
      <c r="X31" s="164" t="str" cm="1">
        <f t="array" aca="1" ref="X31" ca="1">IFERROR(_xlfn.IFS(AND(ISNUMBER(S31), AG31=0),AG31&amp;" "&amp;"("&amp;AH31&amp;" CH4/"&amp;AI31&amp;")",AND(ISNUMBER(S31), AG31&gt;0),ROUND(AG31,INT(3-LOG(AG31)))&amp;" "&amp;"("&amp;AH31&amp;" CH4/"&amp;AI31&amp;")"),"")</f>
        <v/>
      </c>
      <c r="Y31" s="164" t="str" cm="1">
        <f t="array" aca="1" ref="Y31" ca="1">IFERROR(_xlfn.IFS(AND(ISNUMBER(T31), AJ31=0),AJ31&amp;" "&amp;"("&amp;AK31&amp;" CH4/"&amp;AL31&amp;")",AND(ISNUMBER(T31), AJ31&gt;0),ROUND(AJ31,INT(3-LOG(AJ31)))&amp;" "&amp;"("&amp;AK31&amp;" N2O/"&amp;AL31&amp;")"),"")</f>
        <v/>
      </c>
      <c r="Z31" s="245" t="str" cm="1">
        <f t="array" aca="1" ref="Z31" ca="1">IFERROR(_xlfn.IFS(AND(ISNUMBER(V31),AD31=0),AD31&amp;" "&amp;"("&amp;AE31&amp;" CO2/"&amp;AF31&amp;")",AND(ISNUMBER(V31),AD31&gt;0),ROUND(AD31,INT(3-LOG(AD31)))&amp;" "&amp;"("&amp;AE31&amp;" CO2/"&amp;AF31&amp;")"),"")</f>
        <v/>
      </c>
      <c r="AA31" s="240" t="str" cm="1">
        <f t="array" aca="1" ref="AA31" ca="1">IFERROR(_xlfn.IFS(
OR($G31="Fuel Use",$G31="Fuel Use and Vehicle Distance"),VLOOKUP($M31,INDIRECT("Ref_EF_ByFuel"&amp;"_"&amp;$C31),3,0),
$G31="Vehicle Distance (e.g. Road Transport)",VLOOKUP($H31,INDIRECT("Ref_EF_Vehicle_Distance"&amp;"_"&amp;$C31),3,0),
$G31="Vehicle Distance (e.g. Public or Freight Transport)",VLOOKUP($H31,INDIRECT("Ref_EF_Vehicle_Distance_S3"&amp;"_"&amp;$C31),3,0),
$G31="Custom Vehicle",VLOOKUP($H31,Tbl_vehical_Settings,2,0),
$G31="Custom Fuel",VLOOKUP($M31,Tbl_Fuel_Settings,2,0),
$G31="Weight Distance (e.g. Freight Transport)",VLOOKUP($H31,INDIRECT("Ref_EF_Weight_Distance"&amp;"_"&amp;$C31),3,0),
$G31="Passenger Distance (e.g. Public Transport)",VLOOKUP($H31,INDIRECT("Ref_EF_Public_Transport"&amp;"_"&amp;$C31),3,0)),"")</f>
        <v/>
      </c>
      <c r="AB31" s="31" t="str" cm="1">
        <f t="array" aca="1" ref="AB31" ca="1">IFERROR(_xlfn.IFS(
OR($G31="Fuel Use",$G31="Fuel Use and Vehicle Distance"),VLOOKUP($M31,INDIRECT("Ref_EF_ByFuel"&amp;"_"&amp;$C31),5,0),
$G31="Vehicle Distance (e.g. Road Transport)",VLOOKUP($H31,INDIRECT("Ref_EF_Vehicle_Distance"&amp;"_"&amp;$C31),5,0),
$G31="Vehicle Distance (e.g. Public or Freight Transport)",VLOOKUP($H31,INDIRECT("Ref_EF_Vehicle_Distance_S3"&amp;"_"&amp;$C31),5,0),
$G31="Custom Vehicle",VLOOKUP($H31,Tbl_vehical_Settings,6,0),
$G31="Custom Fuel",VLOOKUP($M31,Tbl_Fuel_Settings,6,0),
$G31="Weight Distance (e.g. Freight Transport)",VLOOKUP($H31,INDIRECT("Ref_EF_Weight_Distance"&amp;"_"&amp;$C31),5,0),
$G31="Passenger Distance (e.g. Public Transport)",VLOOKUP($H31,INDIRECT("Ref_EF_Public_Transport"&amp;"_"&amp;$C31),5,0)),"")</f>
        <v/>
      </c>
      <c r="AC31" s="31" t="str" cm="1">
        <f t="array" aca="1" ref="AC31" ca="1">IFERROR(_xlfn.IFS(
OR($G31="Fuel Use",$G31="Fuel Use and Vehicle Distance"),VLOOKUP($M31,INDIRECT("Ref_EF_ByFuel"&amp;"_"&amp;$C31),6,0),
$G31="Vehicle Distance (e.g. Road Transport)",VLOOKUP($H31,INDIRECT("Ref_EF_Vehicle_Distance"&amp;"_"&amp;$C31),6,0),
$G31="Vehicle Distance (e.g. Public or Freight Transport)",VLOOKUP($H31,INDIRECT("Ref_EF_Vehicle_Distance_S3"&amp;"_"&amp;$C31),6,0),
$G31="Custom Vehicle",VLOOKUP($H31,Tbl_vehical_Settings,7,0),
$G31="Custom Fuel",VLOOKUP($M31,Tbl_Fuel_Settings,7,0),
$G31="Weight Distance (e.g. Freight Transport)",VLOOKUP($H31,INDIRECT("Ref_EF_Weight_Distance"&amp;"_"&amp;$C31),6,0),
$G31="Passenger Distance (e.g. Public Transport)",VLOOKUP($H31,INDIRECT("Ref_EF_Public_Transport"&amp;"_"&amp;$C31),6,0)),"")</f>
        <v/>
      </c>
      <c r="AD31" s="31" t="str" cm="1">
        <f t="array" aca="1" ref="AD31" ca="1">IFERROR(_xlfn.IFS(
OR($G31="Fuel Use",$G31="Fuel Use and Vehicle Distance"),VLOOKUP($M31,INDIRECT("Ref_EF_ByFuel"&amp;"_"&amp;$C31),4,0),
$G31="Vehicle Distance (e.g. Road Transport)",VLOOKUP($H31,INDIRECT("Ref_EF_Vehicle_Distance"&amp;"_"&amp;$C31),4,0),
$G31="Vehicle Distance (e.g. Public or Freight Transport)",VLOOKUP($H31,INDIRECT("Ref_EF_Vehicle_Distance_S3"&amp;"_"&amp;$C31),4,0),
$G31="Custom Vehicle",VLOOKUP($H31,Tbl_vehical_Settings,5,0),
$G31="Custom Fuel",VLOOKUP($M31,Tbl_Fuel_Settings,5,0),
$G31="Weight Distance (e.g. Freight Transport)",VLOOKUP($H31,INDIRECT("Ref_EF_Weight_Distance"&amp;"_"&amp;$C31),4,0),
$G31="Passenger Distance (e.g. Public Transport)",VLOOKUP($H31,INDIRECT("Ref_EF_Public_Transport"&amp;"_"&amp;$C31),4,0)),"")</f>
        <v/>
      </c>
      <c r="AE31" s="31" t="str" cm="1">
        <f t="array" aca="1" ref="AE31" ca="1">IFERROR(_xlfn.IFS(
OR($G31="Fuel Use",$G31="Fuel Use and Vehicle Distance"),VLOOKUP($M31,INDIRECT("Ref_EF_ByFuel"&amp;"_"&amp;$C31),5,0),
$G31="Vehicle Distance (e.g. Road Transport)",VLOOKUP($H31,INDIRECT("Ref_EF_Vehicle_Distance"&amp;"_"&amp;$C31),5,0),
$G31="Vehicle Distance (e.g. Public or Freight Transport)",VLOOKUP($H31,INDIRECT("Ref_EF_Vehicle_Distance_S3"&amp;"_"&amp;$C31),5,0),
$G31="Custom Vehicle",VLOOKUP($H31,Tbl_vehical_Settings,6,0),
$G31="Custom Fuel",VLOOKUP($M31,Tbl_Fuel_Settings,6,0),
$G31="Weight Distance (e.g. Freight Transport)",VLOOKUP($H31,INDIRECT("Ref_EF_Weight_Distance"&amp;"_"&amp;$C31),5,0),
$G31="Passenger Distance (e.g. Public Transport)",VLOOKUP($H31,INDIRECT("Ref_EF_Public_Transport"&amp;"_"&amp;$C31),5,0)),"")</f>
        <v/>
      </c>
      <c r="AF31" s="31" t="str" cm="1">
        <f t="array" aca="1" ref="AF31" ca="1">IFERROR(_xlfn.IFS(
OR($G31="Fuel Use",$G31="Fuel Use and Vehicle Distance"),VLOOKUP($M31,INDIRECT("Ref_EF_ByFuel"&amp;"_"&amp;$C31),6,0),
$G31="Vehicle Distance (e.g. Road Transport)",VLOOKUP($H31,INDIRECT("Ref_EF_Vehicle_Distance"&amp;"_"&amp;$C31),6,0),
$G31="Vehicle Distance (e.g. Public or Freight Transport)",VLOOKUP($H31,INDIRECT("Ref_EF_Vehicle_Distance_S3"&amp;"_"&amp;$C31),6,0),
$G31="Custom Vehicle",VLOOKUP($H31,Tbl_vehical_Settings,7,0),
$G31="Custom Fuel",VLOOKUP($M31,Tbl_Fuel_Settings,7,0),
$G31="Weight Distance (e.g. Freight Transport)",VLOOKUP($H31,INDIRECT("Ref_EF_Weight_Distance"&amp;"_"&amp;$C31),6,0),
$G31="Passenger Distance (e.g. Public Transport)",VLOOKUP($H31,INDIRECT("Ref_EF_Public_Transport"&amp;"_"&amp;$C31),6,0)),"")</f>
        <v/>
      </c>
      <c r="AG31" s="31" t="str" cm="1">
        <f t="array" aca="1" ref="AG31" ca="1">IFERROR(_xlfn.IFS(
AND($G31="Fuel Use",$E31&lt;&gt;"Road"),VLOOKUP($H31,INDIRECT("Ref_EF_ByFuel_CH4"&amp;"_"&amp;$C31),3,0),
$G31="Vehicle Distance (e.g. Road Transport)",VLOOKUP($H31,INDIRECT("Ref_EF_Vehicle_Distance"&amp;"_"&amp;$C31),7,0),
$G31="Vehicle Distance (e.g. Public or Freight Transport)",VLOOKUP($H31,INDIRECT("Ref_EF_Vehicle_Distance_S3"&amp;"_"&amp;$C31),7,0),
$G31="Fuel Use and Vehicle Distance",VLOOKUP($H31,INDIRECT("Ref_EF_Fuel_Vehicle_Distance"&amp;"_"&amp;$C31),3,0),
$G31="Custom Vehicle",VLOOKUP($H31,Tbl_vehical_Settings,3,0),
$G31="Custom Fuel",VLOOKUP($M31,Tbl_Fuel_Settings,3,0),
$G31="Weight Distance (e.g. Freight Transport)",VLOOKUP($H31,INDIRECT("Ref_EF_Weight_Distance_CH4"&amp;"_"&amp;$C31),3,0),
$G31="Passenger Distance (e.g. Public Transport)",VLOOKUP($H31,INDIRECT("Ref_EF_Public_Transport_CH4"&amp;"_"&amp;$C31),7,0)),"")</f>
        <v/>
      </c>
      <c r="AH31" s="31" t="str" cm="1">
        <f t="array" aca="1" ref="AH31" ca="1">IFERROR(_xlfn.IFS(
AND($G31="Fuel Use",$E31&lt;&gt;"Road"),VLOOKUP($H31,INDIRECT("Ref_EF_ByFuel_CH4"&amp;"_"&amp;$C31),4,0),
$G31="Vehicle Distance (e.g. Road Transport)",VLOOKUP($H31,INDIRECT("Ref_EF_Vehicle_Distance"&amp;"_"&amp;$C31),8,0),
$G31="Vehicle Distance (e.g. Public or Freight Transport)",VLOOKUP($H31,INDIRECT("Ref_EF_Vehicle_Distance_S3"&amp;"_"&amp;$C31),8,0),
$G31="Fuel Use and Vehicle Distance",VLOOKUP($H31,INDIRECT("Ref_EF_Fuel_Vehicle_Distance"&amp;"_"&amp;$C31),4,0),
$G31="Custom Vehicle",VLOOKUP($H31,Tbl_vehical_Settings,6,0),
$G31="Custom Fuel",VLOOKUP($M31,Tbl_Fuel_Settings,6,0),
$G31="Weight Distance (e.g. Freight Transport)",VLOOKUP($H31,INDIRECT("Ref_EF_Weight_Distance_CH4"&amp;"_"&amp;$C31),4,0),
$G31="Passenger Distance (e.g. Public Transport)",VLOOKUP($H31,INDIRECT("Ref_EF_Public_Transport_CH4"&amp;"_"&amp;$C31),8,0)),"")</f>
        <v/>
      </c>
      <c r="AI31" s="31" t="str" cm="1">
        <f t="array" aca="1" ref="AI31" ca="1">IFERROR(_xlfn.IFS(
AND($G31="Fuel Use",$E31&lt;&gt;"Road"),VLOOKUP($H31,INDIRECT("Ref_EF_ByFuel_CH4"&amp;"_"&amp;$C31),5,0),
$G31="Vehicle Distance (e.g. Road Transport)",VLOOKUP($H31,INDIRECT("Ref_EF_Vehicle_Distance"&amp;"_"&amp;$C31),9,0),
$G31="Vehicle Distance (e.g. Public or Freight Transport)",VLOOKUP($H31,INDIRECT("Ref_EF_Vehicle_Distance_S3"&amp;"_"&amp;$C31),9,0),
$G31="Fuel Use and Vehicle Distance",VLOOKUP($H31,INDIRECT("Ref_EF_Fuel_Vehicle_Distance"&amp;"_"&amp;$C31),5,0),
$G31="Custom Vehicle",VLOOKUP($H31,Tbl_vehical_Settings,7,0),
$G31="Custom Fuel",VLOOKUP($M31,Tbl_Fuel_Settings,7,0),
$G31="Weight Distance (e.g. Freight Transport)",VLOOKUP($H31,INDIRECT("Ref_EF_Weight_Distance_CH4"&amp;"_"&amp;$C31),5,0),
$G31="Passenger Distance (e.g. Public Transport)",VLOOKUP($H31,INDIRECT("Ref_EF_Public_Transport_CH4"&amp;"_"&amp;$C31),9,0)),"")</f>
        <v/>
      </c>
      <c r="AJ31" s="31" t="str" cm="1">
        <f t="array" aca="1" ref="AJ31" ca="1">IFERROR(_xlfn.IFS(
AND($G31="Fuel Use",$E31&lt;&gt;"Road"),VLOOKUP($H31,INDIRECT("Ref_EF_ByFuel_CH4"&amp;"_"&amp;$C31),6,0),
$G31="Vehicle Distance (e.g. Road Transport)",VLOOKUP($H31,INDIRECT("Ref_EF_Vehicle_Distance"&amp;"_"&amp;$C31),10,0),
$G31="Vehicle Distance (e.g. Public or Freight Transport)",VLOOKUP($H31,INDIRECT("Ref_EF_Vehicle_Distance_S3"&amp;"_"&amp;$C31),10,0),
$G31="Fuel Use and Vehicle Distance",VLOOKUP($H31,INDIRECT("Ref_EF_Fuel_Vehicle_Distance"&amp;"_"&amp;$C31),6,0),
$G31="Custom Vehicle",VLOOKUP($H31,Tbl_vehical_Settings,4,0),
$G31="Custom Fuel",VLOOKUP($M31,Tbl_Fuel_Settings,4,0),
$G31="Weight Distance (e.g. Freight Transport)",VLOOKUP($H31,INDIRECT("Ref_EF_Weight_Distance_CH4"&amp;"_"&amp;$C31),6,0),
$G31="Passenger Distance (e.g. Public Transport)",VLOOKUP($H31,INDIRECT("Ref_EF_Public_Transport_CH4"&amp;"_"&amp;$C31),10,0)),"")</f>
        <v/>
      </c>
      <c r="AK31" s="31" t="str" cm="1">
        <f t="array" aca="1" ref="AK31" ca="1">IFERROR(_xlfn.IFS(
AND($G31="Fuel Use",$E31&lt;&gt;"Road"),VLOOKUP($H31,INDIRECT("Ref_EF_ByFuel_CH4"&amp;"_"&amp;$C31),7,0),
$G31="Vehicle Distance (e.g. Road Transport)",VLOOKUP($H31,INDIRECT("Ref_EF_Vehicle_Distance"&amp;"_"&amp;$C31),11,0),
$G31="Vehicle Distance (e.g. Public or Freight Transport)",VLOOKUP($H31,INDIRECT("Ref_EF_Vehicle_Distance_S3"&amp;"_"&amp;$C31),11,0),
$G31="Fuel Use and Vehicle Distance",VLOOKUP($H31,INDIRECT("Ref_EF_Fuel_Vehicle_Distance"&amp;"_"&amp;$C31),7,0),
$G31="Custom Vehicle",VLOOKUP($H31,Tbl_vehical_Settings,6,0),
$G31="Custom Fuel",VLOOKUP($M31,Tbl_Fuel_Settings,6,0),
$G31="Weight Distance (e.g. Freight Transport)",VLOOKUP($H31,INDIRECT("Ref_EF_Weight_Distance_CH4"&amp;"_"&amp;$C31),7,0),
$G31="Passenger Distance (e.g. Public Transport)",VLOOKUP($H31,INDIRECT("Ref_EF_Public_Transport_CH4"&amp;"_"&amp;$C31),11,0)),"")</f>
        <v/>
      </c>
      <c r="AL31" s="31" t="str" cm="1">
        <f t="array" aca="1" ref="AL31" ca="1">IFERROR(_xlfn.IFS(
AND($G31="Fuel Use",$E31&lt;&gt;"Road"),VLOOKUP($H31,INDIRECT("Ref_EF_ByFuel_CH4"&amp;"_"&amp;$C31),8,0),
$G31="Vehicle Distance (e.g. Road Transport)",VLOOKUP($H31,INDIRECT("Ref_EF_Vehicle_Distance"&amp;"_"&amp;$C31),12,0),
$G31="Vehicle Distance (e.g. Public or Freight Transport)",VLOOKUP($H31,INDIRECT("Ref_EF_Vehicle_Distance_S3"&amp;"_"&amp;$C31),12,0),
$G31="Fuel Use and Vehicle Distance",VLOOKUP($H31,INDIRECT("Ref_EF_Fuel_Vehicle_Distance"&amp;"_"&amp;$C31),8,0),
$G31="Custom Vehicle",VLOOKUP($H31,Tbl_vehical_Settings,7,0),
$G31="Custom Fuel",VLOOKUP($M31,Tbl_Fuel_Settings,7,0),
$G31="Weight Distance (e.g. Freight Transport)",VLOOKUP($H31,INDIRECT("Ref_EF_Weight_Distance_CH4"&amp;"_"&amp;$C31),8,0),
$G31="Passenger Distance (e.g. Public Transport)",VLOOKUP($H31,INDIRECT("Ref_EF_Public_Transport_CH4"&amp;"_"&amp;$C31),12,0)),"")</f>
        <v/>
      </c>
      <c r="AM31" s="31" t="e">
        <f ca="1">INDEX(Ref_Master_Unit_Table,MATCH($AB31,REF_To_Unit,0),MATCH('Reference - Lookup and Unit'!$A$11,Ref_From_Units,0))</f>
        <v>#N/A</v>
      </c>
      <c r="AN31" s="31" t="e">
        <f t="shared" ca="1" si="0"/>
        <v>#N/A</v>
      </c>
      <c r="AO31" s="31" t="e">
        <f ca="1">INDEX(Ref_Master_Unit_Table,MATCH($AE31,REF_To_Unit,0),MATCH('Reference - Lookup and Unit'!$A$11,Ref_From_Units,0))</f>
        <v>#N/A</v>
      </c>
      <c r="AP31" s="31" t="e">
        <f t="shared" ca="1" si="59"/>
        <v>#N/A</v>
      </c>
      <c r="AQ31" s="31" t="e">
        <f ca="1">INDEX(Ref_Master_Unit_Table,MATCH($AH31,REF_To_Unit,0),MATCH('Reference - Lookup and Unit'!$A$11,Ref_From_Units,0))</f>
        <v>#N/A</v>
      </c>
      <c r="AR31" s="31" t="e">
        <f t="shared" ca="1" si="60"/>
        <v>#N/A</v>
      </c>
      <c r="AS31" s="31" t="e">
        <f ca="1">INDEX(Ref_Master_Unit_Table,MATCH($AK31,REF_To_Unit,0),MATCH('Reference - Lookup and Unit'!$A$11,Ref_From_Units,0))</f>
        <v>#N/A</v>
      </c>
      <c r="AT31" s="31" t="e">
        <f t="shared" ca="1" si="61"/>
        <v>#N/A</v>
      </c>
      <c r="AU31" s="31" t="e" cm="1">
        <f t="array" aca="1" ref="AU31"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31" s="31">
        <f t="shared" ca="1" si="48"/>
        <v>27.9</v>
      </c>
      <c r="AW31" s="31">
        <f t="shared" ca="1" si="49"/>
        <v>273</v>
      </c>
      <c r="AX31" s="31" t="e" cm="1">
        <f t="array" aca="1" ref="AX31"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31" s="25" t="e" cm="1">
        <f t="array" ref="AY31">_xlfn.IFS(
AND($E31&lt;&gt;"",$G31="Custom Fuel"),("Settings_Custom_Fuels"),
AND($E31&lt;&gt;"",$G31="Custom vehicle"),("Settings_Custom_Vehicle"),
AND($E31&lt;&gt;"",$G31="Fuel Use"),("Ref_DD_vehicle_FuelUse"&amp;"_"&amp;C31&amp;"_"&amp;E31),
AND($E31&lt;&gt;"",$G31="Fuel Use and Vehicle Distance"),("Ref_DD_Fuel_VehicleDistance"&amp;"_"&amp;C31&amp;"_"&amp;E31),
AND($E31&lt;&gt;"",$G31="Vehicle Distance (e.g. Road Transport)"),("Ref_DD_vehicle_VehicleDistance"&amp;"_"&amp;C31&amp;"_"&amp;E31),
AND($E31&lt;&gt;"",$G31="Weight Distance (e.g. Freight Transport)"),("Ref_DD_vehicle_WeightDistance"&amp;"_"&amp;C31&amp;"_"&amp;E31),
AND($E31&lt;&gt;"",$G31="Vehicle Distance (e.g. Public or Freight Transport)"),("Ref_DD_vehicle_DistanceS3"&amp;"_"&amp;C31),
AND($E31&lt;&gt;"",$G31="Passenger Distance (e.g. Public Transport)"),("Ref_DD_vehicle_Passenger"&amp;"_"&amp;C31&amp;"_"&amp;E31),
AND($E31="",$G31="Fuel Use"),("Ref_DD_vehicle_FuelUse"&amp;"_"&amp;C31),
AND($E31="",OR($G31="Vehicle Distance (e.g. Road Transport)",$G31="Fuel Use and Vehicle Distance")),("Ref_DD_vehicle_VehicleDistance"&amp;"_"&amp;C31),
AND($E31="",$G31="Weight Distance (e.g. Freight Transport)"),("Ref_DD_vehicle_WeightDistance"&amp;"_"&amp;C31),
AND($E31="",$G31="Vehicle Distance (e.g. Public or Freight Transport)"),("Ref_DD_vehicle_DistanceS3"&amp;"_"&amp;C31),
AND($E31="",$G31="Passenger Distance (e.g. Public Transport)"),("Ref_DD_vehicle_Passenger"&amp;"_"&amp;C31))</f>
        <v>#N/A</v>
      </c>
      <c r="AZ31" s="25" t="b">
        <f t="shared" ca="1" si="4"/>
        <v>0</v>
      </c>
      <c r="BA31" s="25" t="str">
        <f t="shared" si="5"/>
        <v/>
      </c>
      <c r="BB31" s="25" t="str">
        <f t="shared" si="6"/>
        <v/>
      </c>
      <c r="BC31" s="25" t="str">
        <f t="shared" si="50"/>
        <v/>
      </c>
      <c r="BD31" s="25" t="str">
        <f t="shared" si="51"/>
        <v/>
      </c>
      <c r="BE31" s="25" t="str">
        <f t="shared" si="52"/>
        <v/>
      </c>
      <c r="BF31" s="25" t="str">
        <f t="shared" si="53"/>
        <v/>
      </c>
      <c r="BG31" s="25" t="str">
        <f t="shared" si="7"/>
        <v/>
      </c>
      <c r="BH31" s="25" t="str">
        <f t="shared" si="8"/>
        <v/>
      </c>
      <c r="BI31" s="25" t="str">
        <f t="shared" si="54"/>
        <v/>
      </c>
      <c r="BJ31" s="25" t="str">
        <f t="shared" si="55"/>
        <v/>
      </c>
      <c r="BK31" s="25" t="str">
        <f t="shared" si="56"/>
        <v/>
      </c>
      <c r="BL31" s="25" t="str">
        <f t="shared" si="57"/>
        <v/>
      </c>
      <c r="BM31" s="25" t="str">
        <f t="shared" si="9"/>
        <v/>
      </c>
      <c r="BN31" s="25" t="str">
        <f t="shared" ca="1" si="10"/>
        <v/>
      </c>
      <c r="BO31" s="25" t="str">
        <f t="shared" si="11"/>
        <v/>
      </c>
      <c r="BP31" s="25" t="str">
        <f t="shared" si="12"/>
        <v/>
      </c>
      <c r="BQ31" s="25" t="str">
        <f t="shared" si="13"/>
        <v/>
      </c>
      <c r="BR31" s="25" t="str">
        <f t="shared" si="14"/>
        <v/>
      </c>
      <c r="BS31" s="25" t="str">
        <f t="shared" si="15"/>
        <v/>
      </c>
      <c r="BT31" s="25" t="str">
        <f t="shared" si="16"/>
        <v/>
      </c>
      <c r="BU31" s="25" t="str">
        <f t="shared" si="17"/>
        <v/>
      </c>
      <c r="BV31" s="25" t="str">
        <f t="shared" si="18"/>
        <v/>
      </c>
      <c r="BW31" s="25" t="str">
        <f t="shared" si="19"/>
        <v/>
      </c>
      <c r="BX31" s="25" t="str">
        <f t="shared" si="20"/>
        <v/>
      </c>
      <c r="BY31" s="25" t="str">
        <f t="shared" si="21"/>
        <v/>
      </c>
      <c r="BZ31" s="25" t="str">
        <f t="shared" si="22"/>
        <v/>
      </c>
      <c r="CA31" s="25" t="str">
        <f t="shared" si="23"/>
        <v/>
      </c>
      <c r="CB31" s="25" t="str">
        <f t="shared" si="24"/>
        <v/>
      </c>
      <c r="CC31" s="25" t="str">
        <f t="shared" si="25"/>
        <v/>
      </c>
      <c r="CD31" s="25" t="str">
        <f t="shared" si="26"/>
        <v/>
      </c>
      <c r="CE31" s="25" t="str">
        <f t="shared" si="27"/>
        <v/>
      </c>
      <c r="CF31" s="25" t="str">
        <f t="shared" si="28"/>
        <v/>
      </c>
      <c r="CG31" s="25" t="str">
        <f t="shared" si="29"/>
        <v/>
      </c>
      <c r="CH31" s="25" t="str">
        <f t="shared" si="30"/>
        <v/>
      </c>
      <c r="CI31" s="25" t="str">
        <f t="shared" si="31"/>
        <v/>
      </c>
      <c r="CJ31" s="25" t="str">
        <f t="shared" si="32"/>
        <v/>
      </c>
      <c r="CK31" s="25" t="str">
        <f t="shared" si="33"/>
        <v/>
      </c>
      <c r="CL31" s="25" t="str">
        <f t="shared" si="34"/>
        <v/>
      </c>
      <c r="CM31" s="25" t="str">
        <f t="shared" si="35"/>
        <v/>
      </c>
      <c r="CN31" s="25" t="str">
        <f t="shared" si="36"/>
        <v/>
      </c>
      <c r="CO31" s="25" t="str">
        <f t="shared" si="37"/>
        <v/>
      </c>
      <c r="CP31" s="25" t="str">
        <f t="shared" si="38"/>
        <v/>
      </c>
      <c r="CQ31" s="25" t="str">
        <f t="shared" si="39"/>
        <v/>
      </c>
      <c r="CR31" s="25" t="str">
        <f t="shared" si="40"/>
        <v/>
      </c>
      <c r="CS31" s="25" t="str">
        <f t="shared" si="41"/>
        <v/>
      </c>
      <c r="CT31" s="25" t="str">
        <f t="shared" si="42"/>
        <v/>
      </c>
      <c r="CU31" s="25" t="str">
        <f t="shared" si="43"/>
        <v/>
      </c>
      <c r="CV31" s="25" t="str">
        <f t="shared" si="44"/>
        <v/>
      </c>
      <c r="CW31" s="25" t="str">
        <f t="shared" si="45"/>
        <v/>
      </c>
      <c r="CX31" s="25" t="str" cm="1">
        <f t="array" ref="CX31">_xlfn.IFNA(_xlfn.IFS(
$G31="Weight Distance (e.g. Freight Transport)","Ref_DD_WeightDistanceUnits",
$G31="Passenger Distance (e.g. Public Transport)","Ref_DD_PasengerDistanceUnits",
$G31="Vehicle Distance (e.g. Road Transport)", "Ref_DD_DistanceUnit",
$G31="Vehicle Distance (e.g. Public or Freight Transport)","Ref_DD_DistanceUnit",
$G31="Fuel Use and Vehicle Distance", "Ref_DD_DistanceUnit",
$G31="Custom Vehicle",VLOOKUP($H31,'2. Settings'!$B$39:$I$54,8,FALSE)),"")</f>
        <v/>
      </c>
      <c r="CY31" s="27" t="str">
        <f ca="1">IF(AND(ISERROR(#REF!*$AU31)=TRUE,ISERROR((S31/1000)*$AV31)=TRUE,ISERROR((T31/1000)*$AW31)=FALSE),((T31/1000)*$AW31),"")</f>
        <v/>
      </c>
      <c r="CZ31" s="27" cm="1">
        <f t="array" ref="CZ31">IFERROR(_xlfn.IFS(
AND($G31="Custom vehicle",OR($J31="Passenger Mile",$J31="Passenger Kilometer")),"Passenger Distance (e.g. Public Transport)",
AND($G31="Custom vehicle",OR($J31="Tonne Mile",$J31="Tonne Kilometer",$J31="Short Ton Kilometer",$J31="Short Ton Mile")),"Weight Distance (e.g. Freight Transport)",
AND($G31="Custom vehicle",OR($J31="Mile",$J31="Kilometer")),"Vehicle Distance (e.g. Road Transport)",
$G31&lt;&gt;"Custom vehicle",$G31),"")</f>
        <v>0</v>
      </c>
      <c r="DA31" s="27" t="str" cm="1">
        <f t="array" ref="DA31">IFERROR(_xlfn.IFS(OR(J31="Tonne Kilometer",J31="Tonne Mile",J31="Short Ton Mile",J31="Short Ton Kilometer"),I31*K31,OR(J31="Passenger Kilometer",J31="Passenger Mile"),I31*L31,OR(J31="Kilometer",J31="Mile"),$I31),"")</f>
        <v/>
      </c>
    </row>
    <row r="32" spans="2:105" x14ac:dyDescent="0.25">
      <c r="B32" s="244"/>
      <c r="C32" s="71" t="str" cm="1">
        <f t="array" ref="C32">IFERROR(_xlfn.IFS($D32="Other", D32&amp;"_" &amp;Ref_Other_to,OR($D32="UK", $D32="US"),$D32),"")</f>
        <v/>
      </c>
      <c r="D32" s="71"/>
      <c r="E32" s="71"/>
      <c r="F32" s="71"/>
      <c r="G32" s="72"/>
      <c r="H32" s="72"/>
      <c r="I32" s="73"/>
      <c r="J32" s="73"/>
      <c r="K32" s="73"/>
      <c r="L32" s="73"/>
      <c r="M32" s="74"/>
      <c r="N32" s="75"/>
      <c r="O32" s="71"/>
      <c r="P32" s="165" t="str">
        <f t="shared" si="58"/>
        <v/>
      </c>
      <c r="Q32" s="166" t="str">
        <f t="shared" si="46"/>
        <v/>
      </c>
      <c r="R32" s="76" t="str" cm="1">
        <f t="array" aca="1" ref="R32" ca="1">IFERROR(_xlfn.IFS(
AND(AA32&gt;0, OR($G32="Fuel Use",$G32="Custom Fuel")),$N32*$AA32*$AM32*$AN32,
AND(AA32&gt;0,$CZ32="Vehicle Distance (e.g. Road Transport)"),$I32*$AA32*$AM32*$AN32,
AND(AA32&gt;0,$CZ32="Vehicle Distance (e.g. Public or Freight Transport)"),$I32*$AA32*$AM32*$AN32,
AND(AA32&gt;0,$CZ32="Fuel Use and Vehicle Distance"),$N32*$AA32*$AM32*$AN32,
AND(AA32&gt;0,$CZ32="Passenger Distance (e.g. Public Transport)"),$DA32*$AA32*$AM32*$AN32,
AND(AA32&gt;0,$CZ32="Weight Distance (e.g. Freight Transport)"),$DA32*$AA32*$AM32*$AN32),"")</f>
        <v/>
      </c>
      <c r="S32" s="77" t="str" cm="1">
        <f t="array" aca="1" ref="S32" ca="1">IFERROR(_xlfn.IFS(
AND(AG32&gt;-1, $G32="Fuel Use and Vehicle Distance"),$I32*$AG32*$AQ32*$AR32,
AND(AG32&gt;-1, $G32="Vehicle Distance (e.g. Road Transport)"),$I32*$AG32*$AQ32*$AR32,
AND(AG32&gt;-1, $CZ32="Vehicle Distance (e.g. Public or Freight Transport)"),$I32*$AG32*$AQ32*$AR32,
AND(AG32&gt;-1, OR($G32="Fuel Use",$G32="Custom Fuel")), $N32*$AG32*$AQ32*$AR32*1000,
AND(AG32&gt;-1, $G32="Custom Vehicle"),$DA32*$AG32*$AQ32*$AR32*1000,
AND(AG32&gt;-1, AND($G32&lt;&gt;"Custom Vehicle",$CZ32="Weight Distance (e.g. Freight Transport)")),$DA32*$AG32*$AQ32*$AR32*1000,
AND(AG32&gt;-1, AND($G32&lt;&gt;"Custom Vehicle",$CZ32="Passenger Distance (e.g. Public Transport)")), $DA32*$AG32*$AQ32*$AR32*1000),"")</f>
        <v/>
      </c>
      <c r="T32" s="77" t="str" cm="1">
        <f t="array" aca="1" ref="T32" ca="1">IFERROR(_xlfn.IFS(
AND(AJ32&gt;0,$G32="Fuel Use and Vehicle Distance"),$I32*$AJ32*$AS32*$AT32,
AND(AJ32&gt;0,$G32="Vehicle Distance (e.g. Road Transport)"),$I32*$AJ32*$AS32*$AT32,
AND(AJ32&gt;0,$G32="Vehicle Distance (e.g. Public or Freight Transport)"),$I32*$AJ32*$AS32*$AT32,
AND(AJ32&gt;0,OR($G32="Fuel Use",$G32="Custom Fuel")), $N32*$AJ32*$AS32*$AT32*1000,
AND(AJ32&gt;0,$G32="Custom Vehicle"),$DA32*$AJ32*$AS32*$AT32*1000,
AND(AJ32&gt;0,AND($G32&lt;&gt;"Custom Vehicle",$CZ32="Weight Distance (e.g. Freight Transport)")),$DA32*$AJ32*$AS32*$AT32*1000,
AND(AJ32&gt;0,AND($G32&lt;&gt;"Custom Vehicle",$CZ32="Passenger Distance (e.g. Public Transport)")), $DA32*$AJ32*$AS32*$AT32*1000),"")</f>
        <v/>
      </c>
      <c r="U32" s="78" t="str">
        <f t="shared" ca="1" si="47"/>
        <v/>
      </c>
      <c r="V32" s="161" t="str" cm="1">
        <f t="array" aca="1" ref="V32" ca="1">IFERROR(_xlfn.IFS(
AND(AD32&gt;0,OR($CZ32="Fuel Use",$CZ32="Custom Fuel",$CZ32="Fuel Use and Vehicle Distance")),($N32*$AD32*$AO32*$AP32),
AND(AD32&gt;0,$G32="Custom Vehicle"),$DA32*$AD32*$AO32*$AP32,
AND(AD32&gt;0,$CZ32="Vehicle Distance (e.g. Public or Freight Transport)"),$I32*$AD32*$AM32*$AN32,
AND(AD32&gt;0,$CZ32="Weight Distance (e.g. Freight Transport)"),($I32*$K32*$AD32*$AO32*$AP32),
AND(AD32&gt;0,$CZ32="Passenger Distance (e.g. Public Transport)"),$I32*$L32*$AD32*$AO32*$AP32,
AND(AD32&gt;0,$CZ32="Vehicle Distance (e.g. Road Transport)"),($I32*$AD32*$AO32*$AP32)),"")</f>
        <v/>
      </c>
      <c r="W32" s="164" t="str" cm="1">
        <f t="array" aca="1" ref="W32" ca="1">IFERROR(_xlfn.IFS(AND(ISNUMBER(R32),AA32=0),AA32&amp;" "&amp;"("&amp;AB32&amp;" CO2/"&amp;AC32&amp;")",AND(ISNUMBER(R32),AA32&gt;0),ROUND(AA32,INT(3-LOG(AA32)))&amp;" "&amp;"("&amp;AB32&amp;" CO2/"&amp;AC32&amp;")"),"")</f>
        <v/>
      </c>
      <c r="X32" s="164" t="str" cm="1">
        <f t="array" aca="1" ref="X32" ca="1">IFERROR(_xlfn.IFS(AND(ISNUMBER(S32), AG32=0),AG32&amp;" "&amp;"("&amp;AH32&amp;" CH4/"&amp;AI32&amp;")",AND(ISNUMBER(S32), AG32&gt;0),ROUND(AG32,INT(3-LOG(AG32)))&amp;" "&amp;"("&amp;AH32&amp;" CH4/"&amp;AI32&amp;")"),"")</f>
        <v/>
      </c>
      <c r="Y32" s="164" t="str" cm="1">
        <f t="array" aca="1" ref="Y32" ca="1">IFERROR(_xlfn.IFS(AND(ISNUMBER(T32), AJ32=0),AJ32&amp;" "&amp;"("&amp;AK32&amp;" CH4/"&amp;AL32&amp;")",AND(ISNUMBER(T32), AJ32&gt;0),ROUND(AJ32,INT(3-LOG(AJ32)))&amp;" "&amp;"("&amp;AK32&amp;" N2O/"&amp;AL32&amp;")"),"")</f>
        <v/>
      </c>
      <c r="Z32" s="245" t="str" cm="1">
        <f t="array" aca="1" ref="Z32" ca="1">IFERROR(_xlfn.IFS(AND(ISNUMBER(V32),AD32=0),AD32&amp;" "&amp;"("&amp;AE32&amp;" CO2/"&amp;AF32&amp;")",AND(ISNUMBER(V32),AD32&gt;0),ROUND(AD32,INT(3-LOG(AD32)))&amp;" "&amp;"("&amp;AE32&amp;" CO2/"&amp;AF32&amp;")"),"")</f>
        <v/>
      </c>
      <c r="AA32" s="240" t="str" cm="1">
        <f t="array" aca="1" ref="AA32" ca="1">IFERROR(_xlfn.IFS(
OR($G32="Fuel Use",$G32="Fuel Use and Vehicle Distance"),VLOOKUP($M32,INDIRECT("Ref_EF_ByFuel"&amp;"_"&amp;$C32),3,0),
$G32="Vehicle Distance (e.g. Road Transport)",VLOOKUP($H32,INDIRECT("Ref_EF_Vehicle_Distance"&amp;"_"&amp;$C32),3,0),
$G32="Vehicle Distance (e.g. Public or Freight Transport)",VLOOKUP($H32,INDIRECT("Ref_EF_Vehicle_Distance_S3"&amp;"_"&amp;$C32),3,0),
$G32="Custom Vehicle",VLOOKUP($H32,Tbl_vehical_Settings,2,0),
$G32="Custom Fuel",VLOOKUP($M32,Tbl_Fuel_Settings,2,0),
$G32="Weight Distance (e.g. Freight Transport)",VLOOKUP($H32,INDIRECT("Ref_EF_Weight_Distance"&amp;"_"&amp;$C32),3,0),
$G32="Passenger Distance (e.g. Public Transport)",VLOOKUP($H32,INDIRECT("Ref_EF_Public_Transport"&amp;"_"&amp;$C32),3,0)),"")</f>
        <v/>
      </c>
      <c r="AB32" s="31" t="str" cm="1">
        <f t="array" aca="1" ref="AB32" ca="1">IFERROR(_xlfn.IFS(
OR($G32="Fuel Use",$G32="Fuel Use and Vehicle Distance"),VLOOKUP($M32,INDIRECT("Ref_EF_ByFuel"&amp;"_"&amp;$C32),5,0),
$G32="Vehicle Distance (e.g. Road Transport)",VLOOKUP($H32,INDIRECT("Ref_EF_Vehicle_Distance"&amp;"_"&amp;$C32),5,0),
$G32="Vehicle Distance (e.g. Public or Freight Transport)",VLOOKUP($H32,INDIRECT("Ref_EF_Vehicle_Distance_S3"&amp;"_"&amp;$C32),5,0),
$G32="Custom Vehicle",VLOOKUP($H32,Tbl_vehical_Settings,6,0),
$G32="Custom Fuel",VLOOKUP($M32,Tbl_Fuel_Settings,6,0),
$G32="Weight Distance (e.g. Freight Transport)",VLOOKUP($H32,INDIRECT("Ref_EF_Weight_Distance"&amp;"_"&amp;$C32),5,0),
$G32="Passenger Distance (e.g. Public Transport)",VLOOKUP($H32,INDIRECT("Ref_EF_Public_Transport"&amp;"_"&amp;$C32),5,0)),"")</f>
        <v/>
      </c>
      <c r="AC32" s="31" t="str" cm="1">
        <f t="array" aca="1" ref="AC32" ca="1">IFERROR(_xlfn.IFS(
OR($G32="Fuel Use",$G32="Fuel Use and Vehicle Distance"),VLOOKUP($M32,INDIRECT("Ref_EF_ByFuel"&amp;"_"&amp;$C32),6,0),
$G32="Vehicle Distance (e.g. Road Transport)",VLOOKUP($H32,INDIRECT("Ref_EF_Vehicle_Distance"&amp;"_"&amp;$C32),6,0),
$G32="Vehicle Distance (e.g. Public or Freight Transport)",VLOOKUP($H32,INDIRECT("Ref_EF_Vehicle_Distance_S3"&amp;"_"&amp;$C32),6,0),
$G32="Custom Vehicle",VLOOKUP($H32,Tbl_vehical_Settings,7,0),
$G32="Custom Fuel",VLOOKUP($M32,Tbl_Fuel_Settings,7,0),
$G32="Weight Distance (e.g. Freight Transport)",VLOOKUP($H32,INDIRECT("Ref_EF_Weight_Distance"&amp;"_"&amp;$C32),6,0),
$G32="Passenger Distance (e.g. Public Transport)",VLOOKUP($H32,INDIRECT("Ref_EF_Public_Transport"&amp;"_"&amp;$C32),6,0)),"")</f>
        <v/>
      </c>
      <c r="AD32" s="31" t="str" cm="1">
        <f t="array" aca="1" ref="AD32" ca="1">IFERROR(_xlfn.IFS(
OR($G32="Fuel Use",$G32="Fuel Use and Vehicle Distance"),VLOOKUP($M32,INDIRECT("Ref_EF_ByFuel"&amp;"_"&amp;$C32),4,0),
$G32="Vehicle Distance (e.g. Road Transport)",VLOOKUP($H32,INDIRECT("Ref_EF_Vehicle_Distance"&amp;"_"&amp;$C32),4,0),
$G32="Vehicle Distance (e.g. Public or Freight Transport)",VLOOKUP($H32,INDIRECT("Ref_EF_Vehicle_Distance_S3"&amp;"_"&amp;$C32),4,0),
$G32="Custom Vehicle",VLOOKUP($H32,Tbl_vehical_Settings,5,0),
$G32="Custom Fuel",VLOOKUP($M32,Tbl_Fuel_Settings,5,0),
$G32="Weight Distance (e.g. Freight Transport)",VLOOKUP($H32,INDIRECT("Ref_EF_Weight_Distance"&amp;"_"&amp;$C32),4,0),
$G32="Passenger Distance (e.g. Public Transport)",VLOOKUP($H32,INDIRECT("Ref_EF_Public_Transport"&amp;"_"&amp;$C32),4,0)),"")</f>
        <v/>
      </c>
      <c r="AE32" s="31" t="str" cm="1">
        <f t="array" aca="1" ref="AE32" ca="1">IFERROR(_xlfn.IFS(
OR($G32="Fuel Use",$G32="Fuel Use and Vehicle Distance"),VLOOKUP($M32,INDIRECT("Ref_EF_ByFuel"&amp;"_"&amp;$C32),5,0),
$G32="Vehicle Distance (e.g. Road Transport)",VLOOKUP($H32,INDIRECT("Ref_EF_Vehicle_Distance"&amp;"_"&amp;$C32),5,0),
$G32="Vehicle Distance (e.g. Public or Freight Transport)",VLOOKUP($H32,INDIRECT("Ref_EF_Vehicle_Distance_S3"&amp;"_"&amp;$C32),5,0),
$G32="Custom Vehicle",VLOOKUP($H32,Tbl_vehical_Settings,6,0),
$G32="Custom Fuel",VLOOKUP($M32,Tbl_Fuel_Settings,6,0),
$G32="Weight Distance (e.g. Freight Transport)",VLOOKUP($H32,INDIRECT("Ref_EF_Weight_Distance"&amp;"_"&amp;$C32),5,0),
$G32="Passenger Distance (e.g. Public Transport)",VLOOKUP($H32,INDIRECT("Ref_EF_Public_Transport"&amp;"_"&amp;$C32),5,0)),"")</f>
        <v/>
      </c>
      <c r="AF32" s="31" t="str" cm="1">
        <f t="array" aca="1" ref="AF32" ca="1">IFERROR(_xlfn.IFS(
OR($G32="Fuel Use",$G32="Fuel Use and Vehicle Distance"),VLOOKUP($M32,INDIRECT("Ref_EF_ByFuel"&amp;"_"&amp;$C32),6,0),
$G32="Vehicle Distance (e.g. Road Transport)",VLOOKUP($H32,INDIRECT("Ref_EF_Vehicle_Distance"&amp;"_"&amp;$C32),6,0),
$G32="Vehicle Distance (e.g. Public or Freight Transport)",VLOOKUP($H32,INDIRECT("Ref_EF_Vehicle_Distance_S3"&amp;"_"&amp;$C32),6,0),
$G32="Custom Vehicle",VLOOKUP($H32,Tbl_vehical_Settings,7,0),
$G32="Custom Fuel",VLOOKUP($M32,Tbl_Fuel_Settings,7,0),
$G32="Weight Distance (e.g. Freight Transport)",VLOOKUP($H32,INDIRECT("Ref_EF_Weight_Distance"&amp;"_"&amp;$C32),6,0),
$G32="Passenger Distance (e.g. Public Transport)",VLOOKUP($H32,INDIRECT("Ref_EF_Public_Transport"&amp;"_"&amp;$C32),6,0)),"")</f>
        <v/>
      </c>
      <c r="AG32" s="31" t="str" cm="1">
        <f t="array" aca="1" ref="AG32" ca="1">IFERROR(_xlfn.IFS(
AND($G32="Fuel Use",$E32&lt;&gt;"Road"),VLOOKUP($H32,INDIRECT("Ref_EF_ByFuel_CH4"&amp;"_"&amp;$C32),3,0),
$G32="Vehicle Distance (e.g. Road Transport)",VLOOKUP($H32,INDIRECT("Ref_EF_Vehicle_Distance"&amp;"_"&amp;$C32),7,0),
$G32="Vehicle Distance (e.g. Public or Freight Transport)",VLOOKUP($H32,INDIRECT("Ref_EF_Vehicle_Distance_S3"&amp;"_"&amp;$C32),7,0),
$G32="Fuel Use and Vehicle Distance",VLOOKUP($H32,INDIRECT("Ref_EF_Fuel_Vehicle_Distance"&amp;"_"&amp;$C32),3,0),
$G32="Custom Vehicle",VLOOKUP($H32,Tbl_vehical_Settings,3,0),
$G32="Custom Fuel",VLOOKUP($M32,Tbl_Fuel_Settings,3,0),
$G32="Weight Distance (e.g. Freight Transport)",VLOOKUP($H32,INDIRECT("Ref_EF_Weight_Distance_CH4"&amp;"_"&amp;$C32),3,0),
$G32="Passenger Distance (e.g. Public Transport)",VLOOKUP($H32,INDIRECT("Ref_EF_Public_Transport_CH4"&amp;"_"&amp;$C32),7,0)),"")</f>
        <v/>
      </c>
      <c r="AH32" s="31" t="str" cm="1">
        <f t="array" aca="1" ref="AH32" ca="1">IFERROR(_xlfn.IFS(
AND($G32="Fuel Use",$E32&lt;&gt;"Road"),VLOOKUP($H32,INDIRECT("Ref_EF_ByFuel_CH4"&amp;"_"&amp;$C32),4,0),
$G32="Vehicle Distance (e.g. Road Transport)",VLOOKUP($H32,INDIRECT("Ref_EF_Vehicle_Distance"&amp;"_"&amp;$C32),8,0),
$G32="Vehicle Distance (e.g. Public or Freight Transport)",VLOOKUP($H32,INDIRECT("Ref_EF_Vehicle_Distance_S3"&amp;"_"&amp;$C32),8,0),
$G32="Fuel Use and Vehicle Distance",VLOOKUP($H32,INDIRECT("Ref_EF_Fuel_Vehicle_Distance"&amp;"_"&amp;$C32),4,0),
$G32="Custom Vehicle",VLOOKUP($H32,Tbl_vehical_Settings,6,0),
$G32="Custom Fuel",VLOOKUP($M32,Tbl_Fuel_Settings,6,0),
$G32="Weight Distance (e.g. Freight Transport)",VLOOKUP($H32,INDIRECT("Ref_EF_Weight_Distance_CH4"&amp;"_"&amp;$C32),4,0),
$G32="Passenger Distance (e.g. Public Transport)",VLOOKUP($H32,INDIRECT("Ref_EF_Public_Transport_CH4"&amp;"_"&amp;$C32),8,0)),"")</f>
        <v/>
      </c>
      <c r="AI32" s="31" t="str" cm="1">
        <f t="array" aca="1" ref="AI32" ca="1">IFERROR(_xlfn.IFS(
AND($G32="Fuel Use",$E32&lt;&gt;"Road"),VLOOKUP($H32,INDIRECT("Ref_EF_ByFuel_CH4"&amp;"_"&amp;$C32),5,0),
$G32="Vehicle Distance (e.g. Road Transport)",VLOOKUP($H32,INDIRECT("Ref_EF_Vehicle_Distance"&amp;"_"&amp;$C32),9,0),
$G32="Vehicle Distance (e.g. Public or Freight Transport)",VLOOKUP($H32,INDIRECT("Ref_EF_Vehicle_Distance_S3"&amp;"_"&amp;$C32),9,0),
$G32="Fuel Use and Vehicle Distance",VLOOKUP($H32,INDIRECT("Ref_EF_Fuel_Vehicle_Distance"&amp;"_"&amp;$C32),5,0),
$G32="Custom Vehicle",VLOOKUP($H32,Tbl_vehical_Settings,7,0),
$G32="Custom Fuel",VLOOKUP($M32,Tbl_Fuel_Settings,7,0),
$G32="Weight Distance (e.g. Freight Transport)",VLOOKUP($H32,INDIRECT("Ref_EF_Weight_Distance_CH4"&amp;"_"&amp;$C32),5,0),
$G32="Passenger Distance (e.g. Public Transport)",VLOOKUP($H32,INDIRECT("Ref_EF_Public_Transport_CH4"&amp;"_"&amp;$C32),9,0)),"")</f>
        <v/>
      </c>
      <c r="AJ32" s="31" t="str" cm="1">
        <f t="array" aca="1" ref="AJ32" ca="1">IFERROR(_xlfn.IFS(
AND($G32="Fuel Use",$E32&lt;&gt;"Road"),VLOOKUP($H32,INDIRECT("Ref_EF_ByFuel_CH4"&amp;"_"&amp;$C32),6,0),
$G32="Vehicle Distance (e.g. Road Transport)",VLOOKUP($H32,INDIRECT("Ref_EF_Vehicle_Distance"&amp;"_"&amp;$C32),10,0),
$G32="Vehicle Distance (e.g. Public or Freight Transport)",VLOOKUP($H32,INDIRECT("Ref_EF_Vehicle_Distance_S3"&amp;"_"&amp;$C32),10,0),
$G32="Fuel Use and Vehicle Distance",VLOOKUP($H32,INDIRECT("Ref_EF_Fuel_Vehicle_Distance"&amp;"_"&amp;$C32),6,0),
$G32="Custom Vehicle",VLOOKUP($H32,Tbl_vehical_Settings,4,0),
$G32="Custom Fuel",VLOOKUP($M32,Tbl_Fuel_Settings,4,0),
$G32="Weight Distance (e.g. Freight Transport)",VLOOKUP($H32,INDIRECT("Ref_EF_Weight_Distance_CH4"&amp;"_"&amp;$C32),6,0),
$G32="Passenger Distance (e.g. Public Transport)",VLOOKUP($H32,INDIRECT("Ref_EF_Public_Transport_CH4"&amp;"_"&amp;$C32),10,0)),"")</f>
        <v/>
      </c>
      <c r="AK32" s="31" t="str" cm="1">
        <f t="array" aca="1" ref="AK32" ca="1">IFERROR(_xlfn.IFS(
AND($G32="Fuel Use",$E32&lt;&gt;"Road"),VLOOKUP($H32,INDIRECT("Ref_EF_ByFuel_CH4"&amp;"_"&amp;$C32),7,0),
$G32="Vehicle Distance (e.g. Road Transport)",VLOOKUP($H32,INDIRECT("Ref_EF_Vehicle_Distance"&amp;"_"&amp;$C32),11,0),
$G32="Vehicle Distance (e.g. Public or Freight Transport)",VLOOKUP($H32,INDIRECT("Ref_EF_Vehicle_Distance_S3"&amp;"_"&amp;$C32),11,0),
$G32="Fuel Use and Vehicle Distance",VLOOKUP($H32,INDIRECT("Ref_EF_Fuel_Vehicle_Distance"&amp;"_"&amp;$C32),7,0),
$G32="Custom Vehicle",VLOOKUP($H32,Tbl_vehical_Settings,6,0),
$G32="Custom Fuel",VLOOKUP($M32,Tbl_Fuel_Settings,6,0),
$G32="Weight Distance (e.g. Freight Transport)",VLOOKUP($H32,INDIRECT("Ref_EF_Weight_Distance_CH4"&amp;"_"&amp;$C32),7,0),
$G32="Passenger Distance (e.g. Public Transport)",VLOOKUP($H32,INDIRECT("Ref_EF_Public_Transport_CH4"&amp;"_"&amp;$C32),11,0)),"")</f>
        <v/>
      </c>
      <c r="AL32" s="31" t="str" cm="1">
        <f t="array" aca="1" ref="AL32" ca="1">IFERROR(_xlfn.IFS(
AND($G32="Fuel Use",$E32&lt;&gt;"Road"),VLOOKUP($H32,INDIRECT("Ref_EF_ByFuel_CH4"&amp;"_"&amp;$C32),8,0),
$G32="Vehicle Distance (e.g. Road Transport)",VLOOKUP($H32,INDIRECT("Ref_EF_Vehicle_Distance"&amp;"_"&amp;$C32),12,0),
$G32="Vehicle Distance (e.g. Public or Freight Transport)",VLOOKUP($H32,INDIRECT("Ref_EF_Vehicle_Distance_S3"&amp;"_"&amp;$C32),12,0),
$G32="Fuel Use and Vehicle Distance",VLOOKUP($H32,INDIRECT("Ref_EF_Fuel_Vehicle_Distance"&amp;"_"&amp;$C32),8,0),
$G32="Custom Vehicle",VLOOKUP($H32,Tbl_vehical_Settings,7,0),
$G32="Custom Fuel",VLOOKUP($M32,Tbl_Fuel_Settings,7,0),
$G32="Weight Distance (e.g. Freight Transport)",VLOOKUP($H32,INDIRECT("Ref_EF_Weight_Distance_CH4"&amp;"_"&amp;$C32),8,0),
$G32="Passenger Distance (e.g. Public Transport)",VLOOKUP($H32,INDIRECT("Ref_EF_Public_Transport_CH4"&amp;"_"&amp;$C32),12,0)),"")</f>
        <v/>
      </c>
      <c r="AM32" s="31" t="e">
        <f ca="1">INDEX(Ref_Master_Unit_Table,MATCH($AB32,REF_To_Unit,0),MATCH('Reference - Lookup and Unit'!$A$11,Ref_From_Units,0))</f>
        <v>#N/A</v>
      </c>
      <c r="AN32" s="31" t="e">
        <f t="shared" ca="1" si="0"/>
        <v>#N/A</v>
      </c>
      <c r="AO32" s="31" t="e">
        <f ca="1">INDEX(Ref_Master_Unit_Table,MATCH($AE32,REF_To_Unit,0),MATCH('Reference - Lookup and Unit'!$A$11,Ref_From_Units,0))</f>
        <v>#N/A</v>
      </c>
      <c r="AP32" s="31" t="e">
        <f t="shared" ca="1" si="59"/>
        <v>#N/A</v>
      </c>
      <c r="AQ32" s="31" t="e">
        <f ca="1">INDEX(Ref_Master_Unit_Table,MATCH($AH32,REF_To_Unit,0),MATCH('Reference - Lookup and Unit'!$A$11,Ref_From_Units,0))</f>
        <v>#N/A</v>
      </c>
      <c r="AR32" s="31" t="e">
        <f t="shared" ca="1" si="60"/>
        <v>#N/A</v>
      </c>
      <c r="AS32" s="31" t="e">
        <f ca="1">INDEX(Ref_Master_Unit_Table,MATCH($AK32,REF_To_Unit,0),MATCH('Reference - Lookup and Unit'!$A$11,Ref_From_Units,0))</f>
        <v>#N/A</v>
      </c>
      <c r="AT32" s="31" t="e">
        <f t="shared" ca="1" si="61"/>
        <v>#N/A</v>
      </c>
      <c r="AU32" s="31" t="e" cm="1">
        <f t="array" aca="1" ref="AU32"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32" s="31">
        <f t="shared" ca="1" si="48"/>
        <v>27.9</v>
      </c>
      <c r="AW32" s="31">
        <f t="shared" ca="1" si="49"/>
        <v>273</v>
      </c>
      <c r="AX32" s="31" t="e" cm="1">
        <f t="array" aca="1" ref="AX32"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32" s="25" t="e" cm="1">
        <f t="array" ref="AY32">_xlfn.IFS(
AND($E32&lt;&gt;"",$G32="Custom Fuel"),("Settings_Custom_Fuels"),
AND($E32&lt;&gt;"",$G32="Custom vehicle"),("Settings_Custom_Vehicle"),
AND($E32&lt;&gt;"",$G32="Fuel Use"),("Ref_DD_vehicle_FuelUse"&amp;"_"&amp;C32&amp;"_"&amp;E32),
AND($E32&lt;&gt;"",$G32="Fuel Use and Vehicle Distance"),("Ref_DD_Fuel_VehicleDistance"&amp;"_"&amp;C32&amp;"_"&amp;E32),
AND($E32&lt;&gt;"",$G32="Vehicle Distance (e.g. Road Transport)"),("Ref_DD_vehicle_VehicleDistance"&amp;"_"&amp;C32&amp;"_"&amp;E32),
AND($E32&lt;&gt;"",$G32="Weight Distance (e.g. Freight Transport)"),("Ref_DD_vehicle_WeightDistance"&amp;"_"&amp;C32&amp;"_"&amp;E32),
AND($E32&lt;&gt;"",$G32="Vehicle Distance (e.g. Public or Freight Transport)"),("Ref_DD_vehicle_DistanceS3"&amp;"_"&amp;C32),
AND($E32&lt;&gt;"",$G32="Passenger Distance (e.g. Public Transport)"),("Ref_DD_vehicle_Passenger"&amp;"_"&amp;C32&amp;"_"&amp;E32),
AND($E32="",$G32="Fuel Use"),("Ref_DD_vehicle_FuelUse"&amp;"_"&amp;C32),
AND($E32="",OR($G32="Vehicle Distance (e.g. Road Transport)",$G32="Fuel Use and Vehicle Distance")),("Ref_DD_vehicle_VehicleDistance"&amp;"_"&amp;C32),
AND($E32="",$G32="Weight Distance (e.g. Freight Transport)"),("Ref_DD_vehicle_WeightDistance"&amp;"_"&amp;C32),
AND($E32="",$G32="Vehicle Distance (e.g. Public or Freight Transport)"),("Ref_DD_vehicle_DistanceS3"&amp;"_"&amp;C32),
AND($E32="",$G32="Passenger Distance (e.g. Public Transport)"),("Ref_DD_vehicle_Passenger"&amp;"_"&amp;C32))</f>
        <v>#N/A</v>
      </c>
      <c r="AZ32" s="25" t="b">
        <f t="shared" ca="1" si="4"/>
        <v>0</v>
      </c>
      <c r="BA32" s="25" t="str">
        <f t="shared" si="5"/>
        <v/>
      </c>
      <c r="BB32" s="25" t="str">
        <f t="shared" si="6"/>
        <v/>
      </c>
      <c r="BC32" s="25" t="str">
        <f t="shared" si="50"/>
        <v/>
      </c>
      <c r="BD32" s="25" t="str">
        <f t="shared" si="51"/>
        <v/>
      </c>
      <c r="BE32" s="25" t="str">
        <f t="shared" si="52"/>
        <v/>
      </c>
      <c r="BF32" s="25" t="str">
        <f t="shared" si="53"/>
        <v/>
      </c>
      <c r="BG32" s="25" t="str">
        <f t="shared" si="7"/>
        <v/>
      </c>
      <c r="BH32" s="25" t="str">
        <f t="shared" si="8"/>
        <v/>
      </c>
      <c r="BI32" s="25" t="str">
        <f t="shared" si="54"/>
        <v/>
      </c>
      <c r="BJ32" s="25" t="str">
        <f t="shared" si="55"/>
        <v/>
      </c>
      <c r="BK32" s="25" t="str">
        <f t="shared" si="56"/>
        <v/>
      </c>
      <c r="BL32" s="25" t="str">
        <f t="shared" si="57"/>
        <v/>
      </c>
      <c r="BM32" s="25" t="str">
        <f t="shared" si="9"/>
        <v/>
      </c>
      <c r="BN32" s="25" t="str">
        <f t="shared" ca="1" si="10"/>
        <v/>
      </c>
      <c r="BO32" s="25" t="str">
        <f t="shared" si="11"/>
        <v/>
      </c>
      <c r="BP32" s="25" t="str">
        <f t="shared" si="12"/>
        <v/>
      </c>
      <c r="BQ32" s="25" t="str">
        <f t="shared" si="13"/>
        <v/>
      </c>
      <c r="BR32" s="25" t="str">
        <f t="shared" si="14"/>
        <v/>
      </c>
      <c r="BS32" s="25" t="str">
        <f t="shared" si="15"/>
        <v/>
      </c>
      <c r="BT32" s="25" t="str">
        <f t="shared" si="16"/>
        <v/>
      </c>
      <c r="BU32" s="25" t="str">
        <f t="shared" si="17"/>
        <v/>
      </c>
      <c r="BV32" s="25" t="str">
        <f t="shared" si="18"/>
        <v/>
      </c>
      <c r="BW32" s="25" t="str">
        <f t="shared" si="19"/>
        <v/>
      </c>
      <c r="BX32" s="25" t="str">
        <f t="shared" si="20"/>
        <v/>
      </c>
      <c r="BY32" s="25" t="str">
        <f t="shared" si="21"/>
        <v/>
      </c>
      <c r="BZ32" s="25" t="str">
        <f t="shared" si="22"/>
        <v/>
      </c>
      <c r="CA32" s="25" t="str">
        <f t="shared" si="23"/>
        <v/>
      </c>
      <c r="CB32" s="25" t="str">
        <f t="shared" si="24"/>
        <v/>
      </c>
      <c r="CC32" s="25" t="str">
        <f t="shared" si="25"/>
        <v/>
      </c>
      <c r="CD32" s="25" t="str">
        <f t="shared" si="26"/>
        <v/>
      </c>
      <c r="CE32" s="25" t="str">
        <f t="shared" si="27"/>
        <v/>
      </c>
      <c r="CF32" s="25" t="str">
        <f t="shared" si="28"/>
        <v/>
      </c>
      <c r="CG32" s="25" t="str">
        <f t="shared" si="29"/>
        <v/>
      </c>
      <c r="CH32" s="25" t="str">
        <f t="shared" si="30"/>
        <v/>
      </c>
      <c r="CI32" s="25" t="str">
        <f t="shared" si="31"/>
        <v/>
      </c>
      <c r="CJ32" s="25" t="str">
        <f t="shared" si="32"/>
        <v/>
      </c>
      <c r="CK32" s="25" t="str">
        <f t="shared" si="33"/>
        <v/>
      </c>
      <c r="CL32" s="25" t="str">
        <f t="shared" si="34"/>
        <v/>
      </c>
      <c r="CM32" s="25" t="str">
        <f t="shared" si="35"/>
        <v/>
      </c>
      <c r="CN32" s="25" t="str">
        <f t="shared" si="36"/>
        <v/>
      </c>
      <c r="CO32" s="25" t="str">
        <f t="shared" si="37"/>
        <v/>
      </c>
      <c r="CP32" s="25" t="str">
        <f t="shared" si="38"/>
        <v/>
      </c>
      <c r="CQ32" s="25" t="str">
        <f t="shared" si="39"/>
        <v/>
      </c>
      <c r="CR32" s="25" t="str">
        <f t="shared" si="40"/>
        <v/>
      </c>
      <c r="CS32" s="25" t="str">
        <f t="shared" si="41"/>
        <v/>
      </c>
      <c r="CT32" s="25" t="str">
        <f t="shared" si="42"/>
        <v/>
      </c>
      <c r="CU32" s="25" t="str">
        <f t="shared" si="43"/>
        <v/>
      </c>
      <c r="CV32" s="25" t="str">
        <f t="shared" si="44"/>
        <v/>
      </c>
      <c r="CW32" s="25" t="str">
        <f t="shared" si="45"/>
        <v/>
      </c>
      <c r="CX32" s="25" t="str" cm="1">
        <f t="array" ref="CX32">_xlfn.IFNA(_xlfn.IFS(
$G32="Weight Distance (e.g. Freight Transport)","Ref_DD_WeightDistanceUnits",
$G32="Passenger Distance (e.g. Public Transport)","Ref_DD_PasengerDistanceUnits",
$G32="Vehicle Distance (e.g. Road Transport)", "Ref_DD_DistanceUnit",
$G32="Vehicle Distance (e.g. Public or Freight Transport)","Ref_DD_DistanceUnit",
$G32="Fuel Use and Vehicle Distance", "Ref_DD_DistanceUnit",
$G32="Custom Vehicle",VLOOKUP($H32,'2. Settings'!$B$39:$I$54,8,FALSE)),"")</f>
        <v/>
      </c>
      <c r="CY32" s="27" t="str">
        <f ca="1">IF(AND(ISERROR(#REF!*$AU32)=TRUE,ISERROR((S32/1000)*$AV32)=TRUE,ISERROR((T32/1000)*$AW32)=FALSE),((T32/1000)*$AW32),"")</f>
        <v/>
      </c>
      <c r="CZ32" s="27" cm="1">
        <f t="array" ref="CZ32">IFERROR(_xlfn.IFS(
AND($G32="Custom vehicle",OR($J32="Passenger Mile",$J32="Passenger Kilometer")),"Passenger Distance (e.g. Public Transport)",
AND($G32="Custom vehicle",OR($J32="Tonne Mile",$J32="Tonne Kilometer",$J32="Short Ton Kilometer",$J32="Short Ton Mile")),"Weight Distance (e.g. Freight Transport)",
AND($G32="Custom vehicle",OR($J32="Mile",$J32="Kilometer")),"Vehicle Distance (e.g. Road Transport)",
$G32&lt;&gt;"Custom vehicle",$G32),"")</f>
        <v>0</v>
      </c>
      <c r="DA32" s="27" t="str" cm="1">
        <f t="array" ref="DA32">IFERROR(_xlfn.IFS(OR(J32="Tonne Kilometer",J32="Tonne Mile",J32="Short Ton Mile",J32="Short Ton Kilometer"),I32*K32,OR(J32="Passenger Kilometer",J32="Passenger Mile"),I32*L32,OR(J32="Kilometer",J32="Mile"),$I32),"")</f>
        <v/>
      </c>
    </row>
    <row r="33" spans="2:105" x14ac:dyDescent="0.25">
      <c r="B33" s="244"/>
      <c r="C33" s="71" t="str" cm="1">
        <f t="array" ref="C33">IFERROR(_xlfn.IFS($D33="Other", D33&amp;"_" &amp;Ref_Other_to,OR($D33="UK", $D33="US"),$D33),"")</f>
        <v/>
      </c>
      <c r="D33" s="71"/>
      <c r="E33" s="71"/>
      <c r="F33" s="71"/>
      <c r="G33" s="72"/>
      <c r="H33" s="72"/>
      <c r="I33" s="73"/>
      <c r="J33" s="73"/>
      <c r="K33" s="73"/>
      <c r="L33" s="73"/>
      <c r="M33" s="74"/>
      <c r="N33" s="75"/>
      <c r="O33" s="71"/>
      <c r="P33" s="165" t="str">
        <f t="shared" si="58"/>
        <v/>
      </c>
      <c r="Q33" s="166" t="str">
        <f t="shared" si="46"/>
        <v/>
      </c>
      <c r="R33" s="76" t="str" cm="1">
        <f t="array" aca="1" ref="R33" ca="1">IFERROR(_xlfn.IFS(
AND(AA33&gt;0, OR($G33="Fuel Use",$G33="Custom Fuel")),$N33*$AA33*$AM33*$AN33,
AND(AA33&gt;0,$CZ33="Vehicle Distance (e.g. Road Transport)"),$I33*$AA33*$AM33*$AN33,
AND(AA33&gt;0,$CZ33="Vehicle Distance (e.g. Public or Freight Transport)"),$I33*$AA33*$AM33*$AN33,
AND(AA33&gt;0,$CZ33="Fuel Use and Vehicle Distance"),$N33*$AA33*$AM33*$AN33,
AND(AA33&gt;0,$CZ33="Passenger Distance (e.g. Public Transport)"),$DA33*$AA33*$AM33*$AN33,
AND(AA33&gt;0,$CZ33="Weight Distance (e.g. Freight Transport)"),$DA33*$AA33*$AM33*$AN33),"")</f>
        <v/>
      </c>
      <c r="S33" s="77" t="str" cm="1">
        <f t="array" aca="1" ref="S33" ca="1">IFERROR(_xlfn.IFS(
AND(AG33&gt;-1, $G33="Fuel Use and Vehicle Distance"),$I33*$AG33*$AQ33*$AR33,
AND(AG33&gt;-1, $G33="Vehicle Distance (e.g. Road Transport)"),$I33*$AG33*$AQ33*$AR33,
AND(AG33&gt;-1, $CZ33="Vehicle Distance (e.g. Public or Freight Transport)"),$I33*$AG33*$AQ33*$AR33,
AND(AG33&gt;-1, OR($G33="Fuel Use",$G33="Custom Fuel")), $N33*$AG33*$AQ33*$AR33*1000,
AND(AG33&gt;-1, $G33="Custom Vehicle"),$DA33*$AG33*$AQ33*$AR33*1000,
AND(AG33&gt;-1, AND($G33&lt;&gt;"Custom Vehicle",$CZ33="Weight Distance (e.g. Freight Transport)")),$DA33*$AG33*$AQ33*$AR33*1000,
AND(AG33&gt;-1, AND($G33&lt;&gt;"Custom Vehicle",$CZ33="Passenger Distance (e.g. Public Transport)")), $DA33*$AG33*$AQ33*$AR33*1000),"")</f>
        <v/>
      </c>
      <c r="T33" s="77" t="str" cm="1">
        <f t="array" aca="1" ref="T33" ca="1">IFERROR(_xlfn.IFS(
AND(AJ33&gt;0,$G33="Fuel Use and Vehicle Distance"),$I33*$AJ33*$AS33*$AT33,
AND(AJ33&gt;0,$G33="Vehicle Distance (e.g. Road Transport)"),$I33*$AJ33*$AS33*$AT33,
AND(AJ33&gt;0,$G33="Vehicle Distance (e.g. Public or Freight Transport)"),$I33*$AJ33*$AS33*$AT33,
AND(AJ33&gt;0,OR($G33="Fuel Use",$G33="Custom Fuel")), $N33*$AJ33*$AS33*$AT33*1000,
AND(AJ33&gt;0,$G33="Custom Vehicle"),$DA33*$AJ33*$AS33*$AT33*1000,
AND(AJ33&gt;0,AND($G33&lt;&gt;"Custom Vehicle",$CZ33="Weight Distance (e.g. Freight Transport)")),$DA33*$AJ33*$AS33*$AT33*1000,
AND(AJ33&gt;0,AND($G33&lt;&gt;"Custom Vehicle",$CZ33="Passenger Distance (e.g. Public Transport)")), $DA33*$AJ33*$AS33*$AT33*1000),"")</f>
        <v/>
      </c>
      <c r="U33" s="78" t="str">
        <f t="shared" ca="1" si="47"/>
        <v/>
      </c>
      <c r="V33" s="161" t="str" cm="1">
        <f t="array" aca="1" ref="V33" ca="1">IFERROR(_xlfn.IFS(
AND(AD33&gt;0,OR($CZ33="Fuel Use",$CZ33="Custom Fuel",$CZ33="Fuel Use and Vehicle Distance")),($N33*$AD33*$AO33*$AP33),
AND(AD33&gt;0,$G33="Custom Vehicle"),$DA33*$AD33*$AO33*$AP33,
AND(AD33&gt;0,$CZ33="Vehicle Distance (e.g. Public or Freight Transport)"),$I33*$AD33*$AM33*$AN33,
AND(AD33&gt;0,$CZ33="Weight Distance (e.g. Freight Transport)"),($I33*$K33*$AD33*$AO33*$AP33),
AND(AD33&gt;0,$CZ33="Passenger Distance (e.g. Public Transport)"),$I33*$L33*$AD33*$AO33*$AP33,
AND(AD33&gt;0,$CZ33="Vehicle Distance (e.g. Road Transport)"),($I33*$AD33*$AO33*$AP33)),"")</f>
        <v/>
      </c>
      <c r="W33" s="164" t="str" cm="1">
        <f t="array" aca="1" ref="W33" ca="1">IFERROR(_xlfn.IFS(AND(ISNUMBER(R33),AA33=0),AA33&amp;" "&amp;"("&amp;AB33&amp;" CO2/"&amp;AC33&amp;")",AND(ISNUMBER(R33),AA33&gt;0),ROUND(AA33,INT(3-LOG(AA33)))&amp;" "&amp;"("&amp;AB33&amp;" CO2/"&amp;AC33&amp;")"),"")</f>
        <v/>
      </c>
      <c r="X33" s="164" t="str" cm="1">
        <f t="array" aca="1" ref="X33" ca="1">IFERROR(_xlfn.IFS(AND(ISNUMBER(S33), AG33=0),AG33&amp;" "&amp;"("&amp;AH33&amp;" CH4/"&amp;AI33&amp;")",AND(ISNUMBER(S33), AG33&gt;0),ROUND(AG33,INT(3-LOG(AG33)))&amp;" "&amp;"("&amp;AH33&amp;" CH4/"&amp;AI33&amp;")"),"")</f>
        <v/>
      </c>
      <c r="Y33" s="164" t="str" cm="1">
        <f t="array" aca="1" ref="Y33" ca="1">IFERROR(_xlfn.IFS(AND(ISNUMBER(T33), AJ33=0),AJ33&amp;" "&amp;"("&amp;AK33&amp;" CH4/"&amp;AL33&amp;")",AND(ISNUMBER(T33), AJ33&gt;0),ROUND(AJ33,INT(3-LOG(AJ33)))&amp;" "&amp;"("&amp;AK33&amp;" N2O/"&amp;AL33&amp;")"),"")</f>
        <v/>
      </c>
      <c r="Z33" s="245" t="str" cm="1">
        <f t="array" aca="1" ref="Z33" ca="1">IFERROR(_xlfn.IFS(AND(ISNUMBER(V33),AD33=0),AD33&amp;" "&amp;"("&amp;AE33&amp;" CO2/"&amp;AF33&amp;")",AND(ISNUMBER(V33),AD33&gt;0),ROUND(AD33,INT(3-LOG(AD33)))&amp;" "&amp;"("&amp;AE33&amp;" CO2/"&amp;AF33&amp;")"),"")</f>
        <v/>
      </c>
      <c r="AA33" s="240" t="str" cm="1">
        <f t="array" aca="1" ref="AA33" ca="1">IFERROR(_xlfn.IFS(
OR($G33="Fuel Use",$G33="Fuel Use and Vehicle Distance"),VLOOKUP($M33,INDIRECT("Ref_EF_ByFuel"&amp;"_"&amp;$C33),3,0),
$G33="Vehicle Distance (e.g. Road Transport)",VLOOKUP($H33,INDIRECT("Ref_EF_Vehicle_Distance"&amp;"_"&amp;$C33),3,0),
$G33="Vehicle Distance (e.g. Public or Freight Transport)",VLOOKUP($H33,INDIRECT("Ref_EF_Vehicle_Distance_S3"&amp;"_"&amp;$C33),3,0),
$G33="Custom Vehicle",VLOOKUP($H33,Tbl_vehical_Settings,2,0),
$G33="Custom Fuel",VLOOKUP($M33,Tbl_Fuel_Settings,2,0),
$G33="Weight Distance (e.g. Freight Transport)",VLOOKUP($H33,INDIRECT("Ref_EF_Weight_Distance"&amp;"_"&amp;$C33),3,0),
$G33="Passenger Distance (e.g. Public Transport)",VLOOKUP($H33,INDIRECT("Ref_EF_Public_Transport"&amp;"_"&amp;$C33),3,0)),"")</f>
        <v/>
      </c>
      <c r="AB33" s="31" t="str" cm="1">
        <f t="array" aca="1" ref="AB33" ca="1">IFERROR(_xlfn.IFS(
OR($G33="Fuel Use",$G33="Fuel Use and Vehicle Distance"),VLOOKUP($M33,INDIRECT("Ref_EF_ByFuel"&amp;"_"&amp;$C33),5,0),
$G33="Vehicle Distance (e.g. Road Transport)",VLOOKUP($H33,INDIRECT("Ref_EF_Vehicle_Distance"&amp;"_"&amp;$C33),5,0),
$G33="Vehicle Distance (e.g. Public or Freight Transport)",VLOOKUP($H33,INDIRECT("Ref_EF_Vehicle_Distance_S3"&amp;"_"&amp;$C33),5,0),
$G33="Custom Vehicle",VLOOKUP($H33,Tbl_vehical_Settings,6,0),
$G33="Custom Fuel",VLOOKUP($M33,Tbl_Fuel_Settings,6,0),
$G33="Weight Distance (e.g. Freight Transport)",VLOOKUP($H33,INDIRECT("Ref_EF_Weight_Distance"&amp;"_"&amp;$C33),5,0),
$G33="Passenger Distance (e.g. Public Transport)",VLOOKUP($H33,INDIRECT("Ref_EF_Public_Transport"&amp;"_"&amp;$C33),5,0)),"")</f>
        <v/>
      </c>
      <c r="AC33" s="31" t="str" cm="1">
        <f t="array" aca="1" ref="AC33" ca="1">IFERROR(_xlfn.IFS(
OR($G33="Fuel Use",$G33="Fuel Use and Vehicle Distance"),VLOOKUP($M33,INDIRECT("Ref_EF_ByFuel"&amp;"_"&amp;$C33),6,0),
$G33="Vehicle Distance (e.g. Road Transport)",VLOOKUP($H33,INDIRECT("Ref_EF_Vehicle_Distance"&amp;"_"&amp;$C33),6,0),
$G33="Vehicle Distance (e.g. Public or Freight Transport)",VLOOKUP($H33,INDIRECT("Ref_EF_Vehicle_Distance_S3"&amp;"_"&amp;$C33),6,0),
$G33="Custom Vehicle",VLOOKUP($H33,Tbl_vehical_Settings,7,0),
$G33="Custom Fuel",VLOOKUP($M33,Tbl_Fuel_Settings,7,0),
$G33="Weight Distance (e.g. Freight Transport)",VLOOKUP($H33,INDIRECT("Ref_EF_Weight_Distance"&amp;"_"&amp;$C33),6,0),
$G33="Passenger Distance (e.g. Public Transport)",VLOOKUP($H33,INDIRECT("Ref_EF_Public_Transport"&amp;"_"&amp;$C33),6,0)),"")</f>
        <v/>
      </c>
      <c r="AD33" s="31" t="str" cm="1">
        <f t="array" aca="1" ref="AD33" ca="1">IFERROR(_xlfn.IFS(
OR($G33="Fuel Use",$G33="Fuel Use and Vehicle Distance"),VLOOKUP($M33,INDIRECT("Ref_EF_ByFuel"&amp;"_"&amp;$C33),4,0),
$G33="Vehicle Distance (e.g. Road Transport)",VLOOKUP($H33,INDIRECT("Ref_EF_Vehicle_Distance"&amp;"_"&amp;$C33),4,0),
$G33="Vehicle Distance (e.g. Public or Freight Transport)",VLOOKUP($H33,INDIRECT("Ref_EF_Vehicle_Distance_S3"&amp;"_"&amp;$C33),4,0),
$G33="Custom Vehicle",VLOOKUP($H33,Tbl_vehical_Settings,5,0),
$G33="Custom Fuel",VLOOKUP($M33,Tbl_Fuel_Settings,5,0),
$G33="Weight Distance (e.g. Freight Transport)",VLOOKUP($H33,INDIRECT("Ref_EF_Weight_Distance"&amp;"_"&amp;$C33),4,0),
$G33="Passenger Distance (e.g. Public Transport)",VLOOKUP($H33,INDIRECT("Ref_EF_Public_Transport"&amp;"_"&amp;$C33),4,0)),"")</f>
        <v/>
      </c>
      <c r="AE33" s="31" t="str" cm="1">
        <f t="array" aca="1" ref="AE33" ca="1">IFERROR(_xlfn.IFS(
OR($G33="Fuel Use",$G33="Fuel Use and Vehicle Distance"),VLOOKUP($M33,INDIRECT("Ref_EF_ByFuel"&amp;"_"&amp;$C33),5,0),
$G33="Vehicle Distance (e.g. Road Transport)",VLOOKUP($H33,INDIRECT("Ref_EF_Vehicle_Distance"&amp;"_"&amp;$C33),5,0),
$G33="Vehicle Distance (e.g. Public or Freight Transport)",VLOOKUP($H33,INDIRECT("Ref_EF_Vehicle_Distance_S3"&amp;"_"&amp;$C33),5,0),
$G33="Custom Vehicle",VLOOKUP($H33,Tbl_vehical_Settings,6,0),
$G33="Custom Fuel",VLOOKUP($M33,Tbl_Fuel_Settings,6,0),
$G33="Weight Distance (e.g. Freight Transport)",VLOOKUP($H33,INDIRECT("Ref_EF_Weight_Distance"&amp;"_"&amp;$C33),5,0),
$G33="Passenger Distance (e.g. Public Transport)",VLOOKUP($H33,INDIRECT("Ref_EF_Public_Transport"&amp;"_"&amp;$C33),5,0)),"")</f>
        <v/>
      </c>
      <c r="AF33" s="31" t="str" cm="1">
        <f t="array" aca="1" ref="AF33" ca="1">IFERROR(_xlfn.IFS(
OR($G33="Fuel Use",$G33="Fuel Use and Vehicle Distance"),VLOOKUP($M33,INDIRECT("Ref_EF_ByFuel"&amp;"_"&amp;$C33),6,0),
$G33="Vehicle Distance (e.g. Road Transport)",VLOOKUP($H33,INDIRECT("Ref_EF_Vehicle_Distance"&amp;"_"&amp;$C33),6,0),
$G33="Vehicle Distance (e.g. Public or Freight Transport)",VLOOKUP($H33,INDIRECT("Ref_EF_Vehicle_Distance_S3"&amp;"_"&amp;$C33),6,0),
$G33="Custom Vehicle",VLOOKUP($H33,Tbl_vehical_Settings,7,0),
$G33="Custom Fuel",VLOOKUP($M33,Tbl_Fuel_Settings,7,0),
$G33="Weight Distance (e.g. Freight Transport)",VLOOKUP($H33,INDIRECT("Ref_EF_Weight_Distance"&amp;"_"&amp;$C33),6,0),
$G33="Passenger Distance (e.g. Public Transport)",VLOOKUP($H33,INDIRECT("Ref_EF_Public_Transport"&amp;"_"&amp;$C33),6,0)),"")</f>
        <v/>
      </c>
      <c r="AG33" s="31" t="str" cm="1">
        <f t="array" aca="1" ref="AG33" ca="1">IFERROR(_xlfn.IFS(
AND($G33="Fuel Use",$E33&lt;&gt;"Road"),VLOOKUP($H33,INDIRECT("Ref_EF_ByFuel_CH4"&amp;"_"&amp;$C33),3,0),
$G33="Vehicle Distance (e.g. Road Transport)",VLOOKUP($H33,INDIRECT("Ref_EF_Vehicle_Distance"&amp;"_"&amp;$C33),7,0),
$G33="Vehicle Distance (e.g. Public or Freight Transport)",VLOOKUP($H33,INDIRECT("Ref_EF_Vehicle_Distance_S3"&amp;"_"&amp;$C33),7,0),
$G33="Fuel Use and Vehicle Distance",VLOOKUP($H33,INDIRECT("Ref_EF_Fuel_Vehicle_Distance"&amp;"_"&amp;$C33),3,0),
$G33="Custom Vehicle",VLOOKUP($H33,Tbl_vehical_Settings,3,0),
$G33="Custom Fuel",VLOOKUP($M33,Tbl_Fuel_Settings,3,0),
$G33="Weight Distance (e.g. Freight Transport)",VLOOKUP($H33,INDIRECT("Ref_EF_Weight_Distance_CH4"&amp;"_"&amp;$C33),3,0),
$G33="Passenger Distance (e.g. Public Transport)",VLOOKUP($H33,INDIRECT("Ref_EF_Public_Transport_CH4"&amp;"_"&amp;$C33),7,0)),"")</f>
        <v/>
      </c>
      <c r="AH33" s="31" t="str" cm="1">
        <f t="array" aca="1" ref="AH33" ca="1">IFERROR(_xlfn.IFS(
AND($G33="Fuel Use",$E33&lt;&gt;"Road"),VLOOKUP($H33,INDIRECT("Ref_EF_ByFuel_CH4"&amp;"_"&amp;$C33),4,0),
$G33="Vehicle Distance (e.g. Road Transport)",VLOOKUP($H33,INDIRECT("Ref_EF_Vehicle_Distance"&amp;"_"&amp;$C33),8,0),
$G33="Vehicle Distance (e.g. Public or Freight Transport)",VLOOKUP($H33,INDIRECT("Ref_EF_Vehicle_Distance_S3"&amp;"_"&amp;$C33),8,0),
$G33="Fuel Use and Vehicle Distance",VLOOKUP($H33,INDIRECT("Ref_EF_Fuel_Vehicle_Distance"&amp;"_"&amp;$C33),4,0),
$G33="Custom Vehicle",VLOOKUP($H33,Tbl_vehical_Settings,6,0),
$G33="Custom Fuel",VLOOKUP($M33,Tbl_Fuel_Settings,6,0),
$G33="Weight Distance (e.g. Freight Transport)",VLOOKUP($H33,INDIRECT("Ref_EF_Weight_Distance_CH4"&amp;"_"&amp;$C33),4,0),
$G33="Passenger Distance (e.g. Public Transport)",VLOOKUP($H33,INDIRECT("Ref_EF_Public_Transport_CH4"&amp;"_"&amp;$C33),8,0)),"")</f>
        <v/>
      </c>
      <c r="AI33" s="31" t="str" cm="1">
        <f t="array" aca="1" ref="AI33" ca="1">IFERROR(_xlfn.IFS(
AND($G33="Fuel Use",$E33&lt;&gt;"Road"),VLOOKUP($H33,INDIRECT("Ref_EF_ByFuel_CH4"&amp;"_"&amp;$C33),5,0),
$G33="Vehicle Distance (e.g. Road Transport)",VLOOKUP($H33,INDIRECT("Ref_EF_Vehicle_Distance"&amp;"_"&amp;$C33),9,0),
$G33="Vehicle Distance (e.g. Public or Freight Transport)",VLOOKUP($H33,INDIRECT("Ref_EF_Vehicle_Distance_S3"&amp;"_"&amp;$C33),9,0),
$G33="Fuel Use and Vehicle Distance",VLOOKUP($H33,INDIRECT("Ref_EF_Fuel_Vehicle_Distance"&amp;"_"&amp;$C33),5,0),
$G33="Custom Vehicle",VLOOKUP($H33,Tbl_vehical_Settings,7,0),
$G33="Custom Fuel",VLOOKUP($M33,Tbl_Fuel_Settings,7,0),
$G33="Weight Distance (e.g. Freight Transport)",VLOOKUP($H33,INDIRECT("Ref_EF_Weight_Distance_CH4"&amp;"_"&amp;$C33),5,0),
$G33="Passenger Distance (e.g. Public Transport)",VLOOKUP($H33,INDIRECT("Ref_EF_Public_Transport_CH4"&amp;"_"&amp;$C33),9,0)),"")</f>
        <v/>
      </c>
      <c r="AJ33" s="31" t="str" cm="1">
        <f t="array" aca="1" ref="AJ33" ca="1">IFERROR(_xlfn.IFS(
AND($G33="Fuel Use",$E33&lt;&gt;"Road"),VLOOKUP($H33,INDIRECT("Ref_EF_ByFuel_CH4"&amp;"_"&amp;$C33),6,0),
$G33="Vehicle Distance (e.g. Road Transport)",VLOOKUP($H33,INDIRECT("Ref_EF_Vehicle_Distance"&amp;"_"&amp;$C33),10,0),
$G33="Vehicle Distance (e.g. Public or Freight Transport)",VLOOKUP($H33,INDIRECT("Ref_EF_Vehicle_Distance_S3"&amp;"_"&amp;$C33),10,0),
$G33="Fuel Use and Vehicle Distance",VLOOKUP($H33,INDIRECT("Ref_EF_Fuel_Vehicle_Distance"&amp;"_"&amp;$C33),6,0),
$G33="Custom Vehicle",VLOOKUP($H33,Tbl_vehical_Settings,4,0),
$G33="Custom Fuel",VLOOKUP($M33,Tbl_Fuel_Settings,4,0),
$G33="Weight Distance (e.g. Freight Transport)",VLOOKUP($H33,INDIRECT("Ref_EF_Weight_Distance_CH4"&amp;"_"&amp;$C33),6,0),
$G33="Passenger Distance (e.g. Public Transport)",VLOOKUP($H33,INDIRECT("Ref_EF_Public_Transport_CH4"&amp;"_"&amp;$C33),10,0)),"")</f>
        <v/>
      </c>
      <c r="AK33" s="31" t="str" cm="1">
        <f t="array" aca="1" ref="AK33" ca="1">IFERROR(_xlfn.IFS(
AND($G33="Fuel Use",$E33&lt;&gt;"Road"),VLOOKUP($H33,INDIRECT("Ref_EF_ByFuel_CH4"&amp;"_"&amp;$C33),7,0),
$G33="Vehicle Distance (e.g. Road Transport)",VLOOKUP($H33,INDIRECT("Ref_EF_Vehicle_Distance"&amp;"_"&amp;$C33),11,0),
$G33="Vehicle Distance (e.g. Public or Freight Transport)",VLOOKUP($H33,INDIRECT("Ref_EF_Vehicle_Distance_S3"&amp;"_"&amp;$C33),11,0),
$G33="Fuel Use and Vehicle Distance",VLOOKUP($H33,INDIRECT("Ref_EF_Fuel_Vehicle_Distance"&amp;"_"&amp;$C33),7,0),
$G33="Custom Vehicle",VLOOKUP($H33,Tbl_vehical_Settings,6,0),
$G33="Custom Fuel",VLOOKUP($M33,Tbl_Fuel_Settings,6,0),
$G33="Weight Distance (e.g. Freight Transport)",VLOOKUP($H33,INDIRECT("Ref_EF_Weight_Distance_CH4"&amp;"_"&amp;$C33),7,0),
$G33="Passenger Distance (e.g. Public Transport)",VLOOKUP($H33,INDIRECT("Ref_EF_Public_Transport_CH4"&amp;"_"&amp;$C33),11,0)),"")</f>
        <v/>
      </c>
      <c r="AL33" s="31" t="str" cm="1">
        <f t="array" aca="1" ref="AL33" ca="1">IFERROR(_xlfn.IFS(
AND($G33="Fuel Use",$E33&lt;&gt;"Road"),VLOOKUP($H33,INDIRECT("Ref_EF_ByFuel_CH4"&amp;"_"&amp;$C33),8,0),
$G33="Vehicle Distance (e.g. Road Transport)",VLOOKUP($H33,INDIRECT("Ref_EF_Vehicle_Distance"&amp;"_"&amp;$C33),12,0),
$G33="Vehicle Distance (e.g. Public or Freight Transport)",VLOOKUP($H33,INDIRECT("Ref_EF_Vehicle_Distance_S3"&amp;"_"&amp;$C33),12,0),
$G33="Fuel Use and Vehicle Distance",VLOOKUP($H33,INDIRECT("Ref_EF_Fuel_Vehicle_Distance"&amp;"_"&amp;$C33),8,0),
$G33="Custom Vehicle",VLOOKUP($H33,Tbl_vehical_Settings,7,0),
$G33="Custom Fuel",VLOOKUP($M33,Tbl_Fuel_Settings,7,0),
$G33="Weight Distance (e.g. Freight Transport)",VLOOKUP($H33,INDIRECT("Ref_EF_Weight_Distance_CH4"&amp;"_"&amp;$C33),8,0),
$G33="Passenger Distance (e.g. Public Transport)",VLOOKUP($H33,INDIRECT("Ref_EF_Public_Transport_CH4"&amp;"_"&amp;$C33),12,0)),"")</f>
        <v/>
      </c>
      <c r="AM33" s="31" t="e">
        <f ca="1">INDEX(Ref_Master_Unit_Table,MATCH($AB33,REF_To_Unit,0),MATCH('Reference - Lookup and Unit'!$A$11,Ref_From_Units,0))</f>
        <v>#N/A</v>
      </c>
      <c r="AN33" s="31" t="e">
        <f t="shared" ca="1" si="0"/>
        <v>#N/A</v>
      </c>
      <c r="AO33" s="31" t="e">
        <f ca="1">INDEX(Ref_Master_Unit_Table,MATCH($AE33,REF_To_Unit,0),MATCH('Reference - Lookup and Unit'!$A$11,Ref_From_Units,0))</f>
        <v>#N/A</v>
      </c>
      <c r="AP33" s="31" t="e">
        <f t="shared" ca="1" si="59"/>
        <v>#N/A</v>
      </c>
      <c r="AQ33" s="31" t="e">
        <f ca="1">INDEX(Ref_Master_Unit_Table,MATCH($AH33,REF_To_Unit,0),MATCH('Reference - Lookup and Unit'!$A$11,Ref_From_Units,0))</f>
        <v>#N/A</v>
      </c>
      <c r="AR33" s="31" t="e">
        <f t="shared" ca="1" si="60"/>
        <v>#N/A</v>
      </c>
      <c r="AS33" s="31" t="e">
        <f ca="1">INDEX(Ref_Master_Unit_Table,MATCH($AK33,REF_To_Unit,0),MATCH('Reference - Lookup and Unit'!$A$11,Ref_From_Units,0))</f>
        <v>#N/A</v>
      </c>
      <c r="AT33" s="31" t="e">
        <f t="shared" ca="1" si="61"/>
        <v>#N/A</v>
      </c>
      <c r="AU33" s="31" t="e" cm="1">
        <f t="array" aca="1" ref="AU33"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33" s="31">
        <f t="shared" ca="1" si="48"/>
        <v>27.9</v>
      </c>
      <c r="AW33" s="31">
        <f t="shared" ca="1" si="49"/>
        <v>273</v>
      </c>
      <c r="AX33" s="31" t="e" cm="1">
        <f t="array" aca="1" ref="AX33"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33" s="25" t="e" cm="1">
        <f t="array" ref="AY33">_xlfn.IFS(
AND($E33&lt;&gt;"",$G33="Custom Fuel"),("Settings_Custom_Fuels"),
AND($E33&lt;&gt;"",$G33="Custom vehicle"),("Settings_Custom_Vehicle"),
AND($E33&lt;&gt;"",$G33="Fuel Use"),("Ref_DD_vehicle_FuelUse"&amp;"_"&amp;C33&amp;"_"&amp;E33),
AND($E33&lt;&gt;"",$G33="Fuel Use and Vehicle Distance"),("Ref_DD_Fuel_VehicleDistance"&amp;"_"&amp;C33&amp;"_"&amp;E33),
AND($E33&lt;&gt;"",$G33="Vehicle Distance (e.g. Road Transport)"),("Ref_DD_vehicle_VehicleDistance"&amp;"_"&amp;C33&amp;"_"&amp;E33),
AND($E33&lt;&gt;"",$G33="Weight Distance (e.g. Freight Transport)"),("Ref_DD_vehicle_WeightDistance"&amp;"_"&amp;C33&amp;"_"&amp;E33),
AND($E33&lt;&gt;"",$G33="Vehicle Distance (e.g. Public or Freight Transport)"),("Ref_DD_vehicle_DistanceS3"&amp;"_"&amp;C33),
AND($E33&lt;&gt;"",$G33="Passenger Distance (e.g. Public Transport)"),("Ref_DD_vehicle_Passenger"&amp;"_"&amp;C33&amp;"_"&amp;E33),
AND($E33="",$G33="Fuel Use"),("Ref_DD_vehicle_FuelUse"&amp;"_"&amp;C33),
AND($E33="",OR($G33="Vehicle Distance (e.g. Road Transport)",$G33="Fuel Use and Vehicle Distance")),("Ref_DD_vehicle_VehicleDistance"&amp;"_"&amp;C33),
AND($E33="",$G33="Weight Distance (e.g. Freight Transport)"),("Ref_DD_vehicle_WeightDistance"&amp;"_"&amp;C33),
AND($E33="",$G33="Vehicle Distance (e.g. Public or Freight Transport)"),("Ref_DD_vehicle_DistanceS3"&amp;"_"&amp;C33),
AND($E33="",$G33="Passenger Distance (e.g. Public Transport)"),("Ref_DD_vehicle_Passenger"&amp;"_"&amp;C33))</f>
        <v>#N/A</v>
      </c>
      <c r="AZ33" s="25" t="b">
        <f t="shared" ca="1" si="4"/>
        <v>0</v>
      </c>
      <c r="BA33" s="25" t="str">
        <f t="shared" si="5"/>
        <v/>
      </c>
      <c r="BB33" s="25" t="str">
        <f t="shared" si="6"/>
        <v/>
      </c>
      <c r="BC33" s="25" t="str">
        <f t="shared" si="50"/>
        <v/>
      </c>
      <c r="BD33" s="25" t="str">
        <f t="shared" si="51"/>
        <v/>
      </c>
      <c r="BE33" s="25" t="str">
        <f t="shared" si="52"/>
        <v/>
      </c>
      <c r="BF33" s="25" t="str">
        <f t="shared" si="53"/>
        <v/>
      </c>
      <c r="BG33" s="25" t="str">
        <f t="shared" si="7"/>
        <v/>
      </c>
      <c r="BH33" s="25" t="str">
        <f t="shared" si="8"/>
        <v/>
      </c>
      <c r="BI33" s="25" t="str">
        <f t="shared" si="54"/>
        <v/>
      </c>
      <c r="BJ33" s="25" t="str">
        <f t="shared" si="55"/>
        <v/>
      </c>
      <c r="BK33" s="25" t="str">
        <f t="shared" si="56"/>
        <v/>
      </c>
      <c r="BL33" s="25" t="str">
        <f t="shared" si="57"/>
        <v/>
      </c>
      <c r="BM33" s="25" t="str">
        <f t="shared" si="9"/>
        <v/>
      </c>
      <c r="BN33" s="25" t="str">
        <f t="shared" ca="1" si="10"/>
        <v/>
      </c>
      <c r="BO33" s="25" t="str">
        <f t="shared" si="11"/>
        <v/>
      </c>
      <c r="BP33" s="25" t="str">
        <f t="shared" si="12"/>
        <v/>
      </c>
      <c r="BQ33" s="25" t="str">
        <f t="shared" si="13"/>
        <v/>
      </c>
      <c r="BR33" s="25" t="str">
        <f t="shared" si="14"/>
        <v/>
      </c>
      <c r="BS33" s="25" t="str">
        <f t="shared" si="15"/>
        <v/>
      </c>
      <c r="BT33" s="25" t="str">
        <f t="shared" si="16"/>
        <v/>
      </c>
      <c r="BU33" s="25" t="str">
        <f t="shared" si="17"/>
        <v/>
      </c>
      <c r="BV33" s="25" t="str">
        <f t="shared" si="18"/>
        <v/>
      </c>
      <c r="BW33" s="25" t="str">
        <f t="shared" si="19"/>
        <v/>
      </c>
      <c r="BX33" s="25" t="str">
        <f t="shared" si="20"/>
        <v/>
      </c>
      <c r="BY33" s="25" t="str">
        <f t="shared" si="21"/>
        <v/>
      </c>
      <c r="BZ33" s="25" t="str">
        <f t="shared" si="22"/>
        <v/>
      </c>
      <c r="CA33" s="25" t="str">
        <f t="shared" si="23"/>
        <v/>
      </c>
      <c r="CB33" s="25" t="str">
        <f t="shared" si="24"/>
        <v/>
      </c>
      <c r="CC33" s="25" t="str">
        <f t="shared" si="25"/>
        <v/>
      </c>
      <c r="CD33" s="25" t="str">
        <f t="shared" si="26"/>
        <v/>
      </c>
      <c r="CE33" s="25" t="str">
        <f t="shared" si="27"/>
        <v/>
      </c>
      <c r="CF33" s="25" t="str">
        <f t="shared" si="28"/>
        <v/>
      </c>
      <c r="CG33" s="25" t="str">
        <f t="shared" si="29"/>
        <v/>
      </c>
      <c r="CH33" s="25" t="str">
        <f t="shared" si="30"/>
        <v/>
      </c>
      <c r="CI33" s="25" t="str">
        <f t="shared" si="31"/>
        <v/>
      </c>
      <c r="CJ33" s="25" t="str">
        <f t="shared" si="32"/>
        <v/>
      </c>
      <c r="CK33" s="25" t="str">
        <f t="shared" si="33"/>
        <v/>
      </c>
      <c r="CL33" s="25" t="str">
        <f t="shared" si="34"/>
        <v/>
      </c>
      <c r="CM33" s="25" t="str">
        <f t="shared" si="35"/>
        <v/>
      </c>
      <c r="CN33" s="25" t="str">
        <f t="shared" si="36"/>
        <v/>
      </c>
      <c r="CO33" s="25" t="str">
        <f t="shared" si="37"/>
        <v/>
      </c>
      <c r="CP33" s="25" t="str">
        <f t="shared" si="38"/>
        <v/>
      </c>
      <c r="CQ33" s="25" t="str">
        <f t="shared" si="39"/>
        <v/>
      </c>
      <c r="CR33" s="25" t="str">
        <f t="shared" si="40"/>
        <v/>
      </c>
      <c r="CS33" s="25" t="str">
        <f t="shared" si="41"/>
        <v/>
      </c>
      <c r="CT33" s="25" t="str">
        <f t="shared" si="42"/>
        <v/>
      </c>
      <c r="CU33" s="25" t="str">
        <f t="shared" si="43"/>
        <v/>
      </c>
      <c r="CV33" s="25" t="str">
        <f t="shared" si="44"/>
        <v/>
      </c>
      <c r="CW33" s="25" t="str">
        <f t="shared" si="45"/>
        <v/>
      </c>
      <c r="CX33" s="25" t="str" cm="1">
        <f t="array" ref="CX33">_xlfn.IFNA(_xlfn.IFS(
$G33="Weight Distance (e.g. Freight Transport)","Ref_DD_WeightDistanceUnits",
$G33="Passenger Distance (e.g. Public Transport)","Ref_DD_PasengerDistanceUnits",
$G33="Vehicle Distance (e.g. Road Transport)", "Ref_DD_DistanceUnit",
$G33="Vehicle Distance (e.g. Public or Freight Transport)","Ref_DD_DistanceUnit",
$G33="Fuel Use and Vehicle Distance", "Ref_DD_DistanceUnit",
$G33="Custom Vehicle",VLOOKUP($H33,'2. Settings'!$B$39:$I$54,8,FALSE)),"")</f>
        <v/>
      </c>
      <c r="CY33" s="27" t="str">
        <f ca="1">IF(AND(ISERROR(#REF!*$AU33)=TRUE,ISERROR((S33/1000)*$AV33)=TRUE,ISERROR((T33/1000)*$AW33)=FALSE),((T33/1000)*$AW33),"")</f>
        <v/>
      </c>
      <c r="CZ33" s="27" cm="1">
        <f t="array" ref="CZ33">IFERROR(_xlfn.IFS(
AND($G33="Custom vehicle",OR($J33="Passenger Mile",$J33="Passenger Kilometer")),"Passenger Distance (e.g. Public Transport)",
AND($G33="Custom vehicle",OR($J33="Tonne Mile",$J33="Tonne Kilometer",$J33="Short Ton Kilometer",$J33="Short Ton Mile")),"Weight Distance (e.g. Freight Transport)",
AND($G33="Custom vehicle",OR($J33="Mile",$J33="Kilometer")),"Vehicle Distance (e.g. Road Transport)",
$G33&lt;&gt;"Custom vehicle",$G33),"")</f>
        <v>0</v>
      </c>
      <c r="DA33" s="27" t="str" cm="1">
        <f t="array" ref="DA33">IFERROR(_xlfn.IFS(OR(J33="Tonne Kilometer",J33="Tonne Mile",J33="Short Ton Mile",J33="Short Ton Kilometer"),I33*K33,OR(J33="Passenger Kilometer",J33="Passenger Mile"),I33*L33,OR(J33="Kilometer",J33="Mile"),$I33),"")</f>
        <v/>
      </c>
    </row>
    <row r="34" spans="2:105" x14ac:dyDescent="0.25">
      <c r="B34" s="244"/>
      <c r="C34" s="71" t="str" cm="1">
        <f t="array" ref="C34">IFERROR(_xlfn.IFS($D34="Other", D34&amp;"_" &amp;Ref_Other_to,OR($D34="UK", $D34="US"),$D34),"")</f>
        <v/>
      </c>
      <c r="D34" s="71"/>
      <c r="E34" s="71"/>
      <c r="F34" s="71"/>
      <c r="G34" s="72"/>
      <c r="H34" s="72"/>
      <c r="I34" s="73"/>
      <c r="J34" s="73"/>
      <c r="K34" s="73"/>
      <c r="L34" s="73"/>
      <c r="M34" s="74"/>
      <c r="N34" s="75"/>
      <c r="O34" s="71"/>
      <c r="P34" s="165" t="str">
        <f t="shared" si="58"/>
        <v/>
      </c>
      <c r="Q34" s="166" t="str">
        <f t="shared" si="46"/>
        <v/>
      </c>
      <c r="R34" s="76" t="str" cm="1">
        <f t="array" aca="1" ref="R34" ca="1">IFERROR(_xlfn.IFS(
AND(AA34&gt;0, OR($G34="Fuel Use",$G34="Custom Fuel")),$N34*$AA34*$AM34*$AN34,
AND(AA34&gt;0,$CZ34="Vehicle Distance (e.g. Road Transport)"),$I34*$AA34*$AM34*$AN34,
AND(AA34&gt;0,$CZ34="Vehicle Distance (e.g. Public or Freight Transport)"),$I34*$AA34*$AM34*$AN34,
AND(AA34&gt;0,$CZ34="Fuel Use and Vehicle Distance"),$N34*$AA34*$AM34*$AN34,
AND(AA34&gt;0,$CZ34="Passenger Distance (e.g. Public Transport)"),$DA34*$AA34*$AM34*$AN34,
AND(AA34&gt;0,$CZ34="Weight Distance (e.g. Freight Transport)"),$DA34*$AA34*$AM34*$AN34),"")</f>
        <v/>
      </c>
      <c r="S34" s="77" t="str" cm="1">
        <f t="array" aca="1" ref="S34" ca="1">IFERROR(_xlfn.IFS(
AND(AG34&gt;-1, $G34="Fuel Use and Vehicle Distance"),$I34*$AG34*$AQ34*$AR34,
AND(AG34&gt;-1, $G34="Vehicle Distance (e.g. Road Transport)"),$I34*$AG34*$AQ34*$AR34,
AND(AG34&gt;-1, $CZ34="Vehicle Distance (e.g. Public or Freight Transport)"),$I34*$AG34*$AQ34*$AR34,
AND(AG34&gt;-1, OR($G34="Fuel Use",$G34="Custom Fuel")), $N34*$AG34*$AQ34*$AR34*1000,
AND(AG34&gt;-1, $G34="Custom Vehicle"),$DA34*$AG34*$AQ34*$AR34*1000,
AND(AG34&gt;-1, AND($G34&lt;&gt;"Custom Vehicle",$CZ34="Weight Distance (e.g. Freight Transport)")),$DA34*$AG34*$AQ34*$AR34*1000,
AND(AG34&gt;-1, AND($G34&lt;&gt;"Custom Vehicle",$CZ34="Passenger Distance (e.g. Public Transport)")), $DA34*$AG34*$AQ34*$AR34*1000),"")</f>
        <v/>
      </c>
      <c r="T34" s="77" t="str" cm="1">
        <f t="array" aca="1" ref="T34" ca="1">IFERROR(_xlfn.IFS(
AND(AJ34&gt;0,$G34="Fuel Use and Vehicle Distance"),$I34*$AJ34*$AS34*$AT34,
AND(AJ34&gt;0,$G34="Vehicle Distance (e.g. Road Transport)"),$I34*$AJ34*$AS34*$AT34,
AND(AJ34&gt;0,$G34="Vehicle Distance (e.g. Public or Freight Transport)"),$I34*$AJ34*$AS34*$AT34,
AND(AJ34&gt;0,OR($G34="Fuel Use",$G34="Custom Fuel")), $N34*$AJ34*$AS34*$AT34*1000,
AND(AJ34&gt;0,$G34="Custom Vehicle"),$DA34*$AJ34*$AS34*$AT34*1000,
AND(AJ34&gt;0,AND($G34&lt;&gt;"Custom Vehicle",$CZ34="Weight Distance (e.g. Freight Transport)")),$DA34*$AJ34*$AS34*$AT34*1000,
AND(AJ34&gt;0,AND($G34&lt;&gt;"Custom Vehicle",$CZ34="Passenger Distance (e.g. Public Transport)")), $DA34*$AJ34*$AS34*$AT34*1000),"")</f>
        <v/>
      </c>
      <c r="U34" s="78" t="str">
        <f t="shared" ca="1" si="47"/>
        <v/>
      </c>
      <c r="V34" s="161" t="str" cm="1">
        <f t="array" aca="1" ref="V34" ca="1">IFERROR(_xlfn.IFS(
AND(AD34&gt;0,OR($CZ34="Fuel Use",$CZ34="Custom Fuel",$CZ34="Fuel Use and Vehicle Distance")),($N34*$AD34*$AO34*$AP34),
AND(AD34&gt;0,$G34="Custom Vehicle"),$DA34*$AD34*$AO34*$AP34,
AND(AD34&gt;0,$CZ34="Vehicle Distance (e.g. Public or Freight Transport)"),$I34*$AD34*$AM34*$AN34,
AND(AD34&gt;0,$CZ34="Weight Distance (e.g. Freight Transport)"),($I34*$K34*$AD34*$AO34*$AP34),
AND(AD34&gt;0,$CZ34="Passenger Distance (e.g. Public Transport)"),$I34*$L34*$AD34*$AO34*$AP34,
AND(AD34&gt;0,$CZ34="Vehicle Distance (e.g. Road Transport)"),($I34*$AD34*$AO34*$AP34)),"")</f>
        <v/>
      </c>
      <c r="W34" s="164" t="str" cm="1">
        <f t="array" aca="1" ref="W34" ca="1">IFERROR(_xlfn.IFS(AND(ISNUMBER(R34),AA34=0),AA34&amp;" "&amp;"("&amp;AB34&amp;" CO2/"&amp;AC34&amp;")",AND(ISNUMBER(R34),AA34&gt;0),ROUND(AA34,INT(3-LOG(AA34)))&amp;" "&amp;"("&amp;AB34&amp;" CO2/"&amp;AC34&amp;")"),"")</f>
        <v/>
      </c>
      <c r="X34" s="164" t="str" cm="1">
        <f t="array" aca="1" ref="X34" ca="1">IFERROR(_xlfn.IFS(AND(ISNUMBER(S34), AG34=0),AG34&amp;" "&amp;"("&amp;AH34&amp;" CH4/"&amp;AI34&amp;")",AND(ISNUMBER(S34), AG34&gt;0),ROUND(AG34,INT(3-LOG(AG34)))&amp;" "&amp;"("&amp;AH34&amp;" CH4/"&amp;AI34&amp;")"),"")</f>
        <v/>
      </c>
      <c r="Y34" s="164" t="str" cm="1">
        <f t="array" aca="1" ref="Y34" ca="1">IFERROR(_xlfn.IFS(AND(ISNUMBER(T34), AJ34=0),AJ34&amp;" "&amp;"("&amp;AK34&amp;" CH4/"&amp;AL34&amp;")",AND(ISNUMBER(T34), AJ34&gt;0),ROUND(AJ34,INT(3-LOG(AJ34)))&amp;" "&amp;"("&amp;AK34&amp;" N2O/"&amp;AL34&amp;")"),"")</f>
        <v/>
      </c>
      <c r="Z34" s="245" t="str" cm="1">
        <f t="array" aca="1" ref="Z34" ca="1">IFERROR(_xlfn.IFS(AND(ISNUMBER(V34),AD34=0),AD34&amp;" "&amp;"("&amp;AE34&amp;" CO2/"&amp;AF34&amp;")",AND(ISNUMBER(V34),AD34&gt;0),ROUND(AD34,INT(3-LOG(AD34)))&amp;" "&amp;"("&amp;AE34&amp;" CO2/"&amp;AF34&amp;")"),"")</f>
        <v/>
      </c>
      <c r="AA34" s="240" t="str" cm="1">
        <f t="array" aca="1" ref="AA34" ca="1">IFERROR(_xlfn.IFS(
OR($G34="Fuel Use",$G34="Fuel Use and Vehicle Distance"),VLOOKUP($M34,INDIRECT("Ref_EF_ByFuel"&amp;"_"&amp;$C34),3,0),
$G34="Vehicle Distance (e.g. Road Transport)",VLOOKUP($H34,INDIRECT("Ref_EF_Vehicle_Distance"&amp;"_"&amp;$C34),3,0),
$G34="Vehicle Distance (e.g. Public or Freight Transport)",VLOOKUP($H34,INDIRECT("Ref_EF_Vehicle_Distance_S3"&amp;"_"&amp;$C34),3,0),
$G34="Custom Vehicle",VLOOKUP($H34,Tbl_vehical_Settings,2,0),
$G34="Custom Fuel",VLOOKUP($M34,Tbl_Fuel_Settings,2,0),
$G34="Weight Distance (e.g. Freight Transport)",VLOOKUP($H34,INDIRECT("Ref_EF_Weight_Distance"&amp;"_"&amp;$C34),3,0),
$G34="Passenger Distance (e.g. Public Transport)",VLOOKUP($H34,INDIRECT("Ref_EF_Public_Transport"&amp;"_"&amp;$C34),3,0)),"")</f>
        <v/>
      </c>
      <c r="AB34" s="31" t="str" cm="1">
        <f t="array" aca="1" ref="AB34" ca="1">IFERROR(_xlfn.IFS(
OR($G34="Fuel Use",$G34="Fuel Use and Vehicle Distance"),VLOOKUP($M34,INDIRECT("Ref_EF_ByFuel"&amp;"_"&amp;$C34),5,0),
$G34="Vehicle Distance (e.g. Road Transport)",VLOOKUP($H34,INDIRECT("Ref_EF_Vehicle_Distance"&amp;"_"&amp;$C34),5,0),
$G34="Vehicle Distance (e.g. Public or Freight Transport)",VLOOKUP($H34,INDIRECT("Ref_EF_Vehicle_Distance_S3"&amp;"_"&amp;$C34),5,0),
$G34="Custom Vehicle",VLOOKUP($H34,Tbl_vehical_Settings,6,0),
$G34="Custom Fuel",VLOOKUP($M34,Tbl_Fuel_Settings,6,0),
$G34="Weight Distance (e.g. Freight Transport)",VLOOKUP($H34,INDIRECT("Ref_EF_Weight_Distance"&amp;"_"&amp;$C34),5,0),
$G34="Passenger Distance (e.g. Public Transport)",VLOOKUP($H34,INDIRECT("Ref_EF_Public_Transport"&amp;"_"&amp;$C34),5,0)),"")</f>
        <v/>
      </c>
      <c r="AC34" s="31" t="str" cm="1">
        <f t="array" aca="1" ref="AC34" ca="1">IFERROR(_xlfn.IFS(
OR($G34="Fuel Use",$G34="Fuel Use and Vehicle Distance"),VLOOKUP($M34,INDIRECT("Ref_EF_ByFuel"&amp;"_"&amp;$C34),6,0),
$G34="Vehicle Distance (e.g. Road Transport)",VLOOKUP($H34,INDIRECT("Ref_EF_Vehicle_Distance"&amp;"_"&amp;$C34),6,0),
$G34="Vehicle Distance (e.g. Public or Freight Transport)",VLOOKUP($H34,INDIRECT("Ref_EF_Vehicle_Distance_S3"&amp;"_"&amp;$C34),6,0),
$G34="Custom Vehicle",VLOOKUP($H34,Tbl_vehical_Settings,7,0),
$G34="Custom Fuel",VLOOKUP($M34,Tbl_Fuel_Settings,7,0),
$G34="Weight Distance (e.g. Freight Transport)",VLOOKUP($H34,INDIRECT("Ref_EF_Weight_Distance"&amp;"_"&amp;$C34),6,0),
$G34="Passenger Distance (e.g. Public Transport)",VLOOKUP($H34,INDIRECT("Ref_EF_Public_Transport"&amp;"_"&amp;$C34),6,0)),"")</f>
        <v/>
      </c>
      <c r="AD34" s="31" t="str" cm="1">
        <f t="array" aca="1" ref="AD34" ca="1">IFERROR(_xlfn.IFS(
OR($G34="Fuel Use",$G34="Fuel Use and Vehicle Distance"),VLOOKUP($M34,INDIRECT("Ref_EF_ByFuel"&amp;"_"&amp;$C34),4,0),
$G34="Vehicle Distance (e.g. Road Transport)",VLOOKUP($H34,INDIRECT("Ref_EF_Vehicle_Distance"&amp;"_"&amp;$C34),4,0),
$G34="Vehicle Distance (e.g. Public or Freight Transport)",VLOOKUP($H34,INDIRECT("Ref_EF_Vehicle_Distance_S3"&amp;"_"&amp;$C34),4,0),
$G34="Custom Vehicle",VLOOKUP($H34,Tbl_vehical_Settings,5,0),
$G34="Custom Fuel",VLOOKUP($M34,Tbl_Fuel_Settings,5,0),
$G34="Weight Distance (e.g. Freight Transport)",VLOOKUP($H34,INDIRECT("Ref_EF_Weight_Distance"&amp;"_"&amp;$C34),4,0),
$G34="Passenger Distance (e.g. Public Transport)",VLOOKUP($H34,INDIRECT("Ref_EF_Public_Transport"&amp;"_"&amp;$C34),4,0)),"")</f>
        <v/>
      </c>
      <c r="AE34" s="31" t="str" cm="1">
        <f t="array" aca="1" ref="AE34" ca="1">IFERROR(_xlfn.IFS(
OR($G34="Fuel Use",$G34="Fuel Use and Vehicle Distance"),VLOOKUP($M34,INDIRECT("Ref_EF_ByFuel"&amp;"_"&amp;$C34),5,0),
$G34="Vehicle Distance (e.g. Road Transport)",VLOOKUP($H34,INDIRECT("Ref_EF_Vehicle_Distance"&amp;"_"&amp;$C34),5,0),
$G34="Vehicle Distance (e.g. Public or Freight Transport)",VLOOKUP($H34,INDIRECT("Ref_EF_Vehicle_Distance_S3"&amp;"_"&amp;$C34),5,0),
$G34="Custom Vehicle",VLOOKUP($H34,Tbl_vehical_Settings,6,0),
$G34="Custom Fuel",VLOOKUP($M34,Tbl_Fuel_Settings,6,0),
$G34="Weight Distance (e.g. Freight Transport)",VLOOKUP($H34,INDIRECT("Ref_EF_Weight_Distance"&amp;"_"&amp;$C34),5,0),
$G34="Passenger Distance (e.g. Public Transport)",VLOOKUP($H34,INDIRECT("Ref_EF_Public_Transport"&amp;"_"&amp;$C34),5,0)),"")</f>
        <v/>
      </c>
      <c r="AF34" s="31" t="str" cm="1">
        <f t="array" aca="1" ref="AF34" ca="1">IFERROR(_xlfn.IFS(
OR($G34="Fuel Use",$G34="Fuel Use and Vehicle Distance"),VLOOKUP($M34,INDIRECT("Ref_EF_ByFuel"&amp;"_"&amp;$C34),6,0),
$G34="Vehicle Distance (e.g. Road Transport)",VLOOKUP($H34,INDIRECT("Ref_EF_Vehicle_Distance"&amp;"_"&amp;$C34),6,0),
$G34="Vehicle Distance (e.g. Public or Freight Transport)",VLOOKUP($H34,INDIRECT("Ref_EF_Vehicle_Distance_S3"&amp;"_"&amp;$C34),6,0),
$G34="Custom Vehicle",VLOOKUP($H34,Tbl_vehical_Settings,7,0),
$G34="Custom Fuel",VLOOKUP($M34,Tbl_Fuel_Settings,7,0),
$G34="Weight Distance (e.g. Freight Transport)",VLOOKUP($H34,INDIRECT("Ref_EF_Weight_Distance"&amp;"_"&amp;$C34),6,0),
$G34="Passenger Distance (e.g. Public Transport)",VLOOKUP($H34,INDIRECT("Ref_EF_Public_Transport"&amp;"_"&amp;$C34),6,0)),"")</f>
        <v/>
      </c>
      <c r="AG34" s="31" t="str" cm="1">
        <f t="array" aca="1" ref="AG34" ca="1">IFERROR(_xlfn.IFS(
AND($G34="Fuel Use",$E34&lt;&gt;"Road"),VLOOKUP($H34,INDIRECT("Ref_EF_ByFuel_CH4"&amp;"_"&amp;$C34),3,0),
$G34="Vehicle Distance (e.g. Road Transport)",VLOOKUP($H34,INDIRECT("Ref_EF_Vehicle_Distance"&amp;"_"&amp;$C34),7,0),
$G34="Vehicle Distance (e.g. Public or Freight Transport)",VLOOKUP($H34,INDIRECT("Ref_EF_Vehicle_Distance_S3"&amp;"_"&amp;$C34),7,0),
$G34="Fuel Use and Vehicle Distance",VLOOKUP($H34,INDIRECT("Ref_EF_Fuel_Vehicle_Distance"&amp;"_"&amp;$C34),3,0),
$G34="Custom Vehicle",VLOOKUP($H34,Tbl_vehical_Settings,3,0),
$G34="Custom Fuel",VLOOKUP($M34,Tbl_Fuel_Settings,3,0),
$G34="Weight Distance (e.g. Freight Transport)",VLOOKUP($H34,INDIRECT("Ref_EF_Weight_Distance_CH4"&amp;"_"&amp;$C34),3,0),
$G34="Passenger Distance (e.g. Public Transport)",VLOOKUP($H34,INDIRECT("Ref_EF_Public_Transport_CH4"&amp;"_"&amp;$C34),7,0)),"")</f>
        <v/>
      </c>
      <c r="AH34" s="31" t="str" cm="1">
        <f t="array" aca="1" ref="AH34" ca="1">IFERROR(_xlfn.IFS(
AND($G34="Fuel Use",$E34&lt;&gt;"Road"),VLOOKUP($H34,INDIRECT("Ref_EF_ByFuel_CH4"&amp;"_"&amp;$C34),4,0),
$G34="Vehicle Distance (e.g. Road Transport)",VLOOKUP($H34,INDIRECT("Ref_EF_Vehicle_Distance"&amp;"_"&amp;$C34),8,0),
$G34="Vehicle Distance (e.g. Public or Freight Transport)",VLOOKUP($H34,INDIRECT("Ref_EF_Vehicle_Distance_S3"&amp;"_"&amp;$C34),8,0),
$G34="Fuel Use and Vehicle Distance",VLOOKUP($H34,INDIRECT("Ref_EF_Fuel_Vehicle_Distance"&amp;"_"&amp;$C34),4,0),
$G34="Custom Vehicle",VLOOKUP($H34,Tbl_vehical_Settings,6,0),
$G34="Custom Fuel",VLOOKUP($M34,Tbl_Fuel_Settings,6,0),
$G34="Weight Distance (e.g. Freight Transport)",VLOOKUP($H34,INDIRECT("Ref_EF_Weight_Distance_CH4"&amp;"_"&amp;$C34),4,0),
$G34="Passenger Distance (e.g. Public Transport)",VLOOKUP($H34,INDIRECT("Ref_EF_Public_Transport_CH4"&amp;"_"&amp;$C34),8,0)),"")</f>
        <v/>
      </c>
      <c r="AI34" s="31" t="str" cm="1">
        <f t="array" aca="1" ref="AI34" ca="1">IFERROR(_xlfn.IFS(
AND($G34="Fuel Use",$E34&lt;&gt;"Road"),VLOOKUP($H34,INDIRECT("Ref_EF_ByFuel_CH4"&amp;"_"&amp;$C34),5,0),
$G34="Vehicle Distance (e.g. Road Transport)",VLOOKUP($H34,INDIRECT("Ref_EF_Vehicle_Distance"&amp;"_"&amp;$C34),9,0),
$G34="Vehicle Distance (e.g. Public or Freight Transport)",VLOOKUP($H34,INDIRECT("Ref_EF_Vehicle_Distance_S3"&amp;"_"&amp;$C34),9,0),
$G34="Fuel Use and Vehicle Distance",VLOOKUP($H34,INDIRECT("Ref_EF_Fuel_Vehicle_Distance"&amp;"_"&amp;$C34),5,0),
$G34="Custom Vehicle",VLOOKUP($H34,Tbl_vehical_Settings,7,0),
$G34="Custom Fuel",VLOOKUP($M34,Tbl_Fuel_Settings,7,0),
$G34="Weight Distance (e.g. Freight Transport)",VLOOKUP($H34,INDIRECT("Ref_EF_Weight_Distance_CH4"&amp;"_"&amp;$C34),5,0),
$G34="Passenger Distance (e.g. Public Transport)",VLOOKUP($H34,INDIRECT("Ref_EF_Public_Transport_CH4"&amp;"_"&amp;$C34),9,0)),"")</f>
        <v/>
      </c>
      <c r="AJ34" s="31" t="str" cm="1">
        <f t="array" aca="1" ref="AJ34" ca="1">IFERROR(_xlfn.IFS(
AND($G34="Fuel Use",$E34&lt;&gt;"Road"),VLOOKUP($H34,INDIRECT("Ref_EF_ByFuel_CH4"&amp;"_"&amp;$C34),6,0),
$G34="Vehicle Distance (e.g. Road Transport)",VLOOKUP($H34,INDIRECT("Ref_EF_Vehicle_Distance"&amp;"_"&amp;$C34),10,0),
$G34="Vehicle Distance (e.g. Public or Freight Transport)",VLOOKUP($H34,INDIRECT("Ref_EF_Vehicle_Distance_S3"&amp;"_"&amp;$C34),10,0),
$G34="Fuel Use and Vehicle Distance",VLOOKUP($H34,INDIRECT("Ref_EF_Fuel_Vehicle_Distance"&amp;"_"&amp;$C34),6,0),
$G34="Custom Vehicle",VLOOKUP($H34,Tbl_vehical_Settings,4,0),
$G34="Custom Fuel",VLOOKUP($M34,Tbl_Fuel_Settings,4,0),
$G34="Weight Distance (e.g. Freight Transport)",VLOOKUP($H34,INDIRECT("Ref_EF_Weight_Distance_CH4"&amp;"_"&amp;$C34),6,0),
$G34="Passenger Distance (e.g. Public Transport)",VLOOKUP($H34,INDIRECT("Ref_EF_Public_Transport_CH4"&amp;"_"&amp;$C34),10,0)),"")</f>
        <v/>
      </c>
      <c r="AK34" s="31" t="str" cm="1">
        <f t="array" aca="1" ref="AK34" ca="1">IFERROR(_xlfn.IFS(
AND($G34="Fuel Use",$E34&lt;&gt;"Road"),VLOOKUP($H34,INDIRECT("Ref_EF_ByFuel_CH4"&amp;"_"&amp;$C34),7,0),
$G34="Vehicle Distance (e.g. Road Transport)",VLOOKUP($H34,INDIRECT("Ref_EF_Vehicle_Distance"&amp;"_"&amp;$C34),11,0),
$G34="Vehicle Distance (e.g. Public or Freight Transport)",VLOOKUP($H34,INDIRECT("Ref_EF_Vehicle_Distance_S3"&amp;"_"&amp;$C34),11,0),
$G34="Fuel Use and Vehicle Distance",VLOOKUP($H34,INDIRECT("Ref_EF_Fuel_Vehicle_Distance"&amp;"_"&amp;$C34),7,0),
$G34="Custom Vehicle",VLOOKUP($H34,Tbl_vehical_Settings,6,0),
$G34="Custom Fuel",VLOOKUP($M34,Tbl_Fuel_Settings,6,0),
$G34="Weight Distance (e.g. Freight Transport)",VLOOKUP($H34,INDIRECT("Ref_EF_Weight_Distance_CH4"&amp;"_"&amp;$C34),7,0),
$G34="Passenger Distance (e.g. Public Transport)",VLOOKUP($H34,INDIRECT("Ref_EF_Public_Transport_CH4"&amp;"_"&amp;$C34),11,0)),"")</f>
        <v/>
      </c>
      <c r="AL34" s="31" t="str" cm="1">
        <f t="array" aca="1" ref="AL34" ca="1">IFERROR(_xlfn.IFS(
AND($G34="Fuel Use",$E34&lt;&gt;"Road"),VLOOKUP($H34,INDIRECT("Ref_EF_ByFuel_CH4"&amp;"_"&amp;$C34),8,0),
$G34="Vehicle Distance (e.g. Road Transport)",VLOOKUP($H34,INDIRECT("Ref_EF_Vehicle_Distance"&amp;"_"&amp;$C34),12,0),
$G34="Vehicle Distance (e.g. Public or Freight Transport)",VLOOKUP($H34,INDIRECT("Ref_EF_Vehicle_Distance_S3"&amp;"_"&amp;$C34),12,0),
$G34="Fuel Use and Vehicle Distance",VLOOKUP($H34,INDIRECT("Ref_EF_Fuel_Vehicle_Distance"&amp;"_"&amp;$C34),8,0),
$G34="Custom Vehicle",VLOOKUP($H34,Tbl_vehical_Settings,7,0),
$G34="Custom Fuel",VLOOKUP($M34,Tbl_Fuel_Settings,7,0),
$G34="Weight Distance (e.g. Freight Transport)",VLOOKUP($H34,INDIRECT("Ref_EF_Weight_Distance_CH4"&amp;"_"&amp;$C34),8,0),
$G34="Passenger Distance (e.g. Public Transport)",VLOOKUP($H34,INDIRECT("Ref_EF_Public_Transport_CH4"&amp;"_"&amp;$C34),12,0)),"")</f>
        <v/>
      </c>
      <c r="AM34" s="31" t="e">
        <f ca="1">INDEX(Ref_Master_Unit_Table,MATCH($AB34,REF_To_Unit,0),MATCH('Reference - Lookup and Unit'!$A$11,Ref_From_Units,0))</f>
        <v>#N/A</v>
      </c>
      <c r="AN34" s="31" t="e">
        <f t="shared" ca="1" si="0"/>
        <v>#N/A</v>
      </c>
      <c r="AO34" s="31" t="e">
        <f ca="1">INDEX(Ref_Master_Unit_Table,MATCH($AE34,REF_To_Unit,0),MATCH('Reference - Lookup and Unit'!$A$11,Ref_From_Units,0))</f>
        <v>#N/A</v>
      </c>
      <c r="AP34" s="31" t="e">
        <f t="shared" ca="1" si="59"/>
        <v>#N/A</v>
      </c>
      <c r="AQ34" s="31" t="e">
        <f ca="1">INDEX(Ref_Master_Unit_Table,MATCH($AH34,REF_To_Unit,0),MATCH('Reference - Lookup and Unit'!$A$11,Ref_From_Units,0))</f>
        <v>#N/A</v>
      </c>
      <c r="AR34" s="31" t="e">
        <f t="shared" ca="1" si="60"/>
        <v>#N/A</v>
      </c>
      <c r="AS34" s="31" t="e">
        <f ca="1">INDEX(Ref_Master_Unit_Table,MATCH($AK34,REF_To_Unit,0),MATCH('Reference - Lookup and Unit'!$A$11,Ref_From_Units,0))</f>
        <v>#N/A</v>
      </c>
      <c r="AT34" s="31" t="e">
        <f t="shared" ca="1" si="61"/>
        <v>#N/A</v>
      </c>
      <c r="AU34" s="31" t="e" cm="1">
        <f t="array" aca="1" ref="AU34"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34" s="31">
        <f t="shared" ca="1" si="48"/>
        <v>27.9</v>
      </c>
      <c r="AW34" s="31">
        <f t="shared" ca="1" si="49"/>
        <v>273</v>
      </c>
      <c r="AX34" s="31" t="e" cm="1">
        <f t="array" aca="1" ref="AX34"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34" s="25" t="e" cm="1">
        <f t="array" ref="AY34">_xlfn.IFS(
AND($E34&lt;&gt;"",$G34="Custom Fuel"),("Settings_Custom_Fuels"),
AND($E34&lt;&gt;"",$G34="Custom vehicle"),("Settings_Custom_Vehicle"),
AND($E34&lt;&gt;"",$G34="Fuel Use"),("Ref_DD_vehicle_FuelUse"&amp;"_"&amp;C34&amp;"_"&amp;E34),
AND($E34&lt;&gt;"",$G34="Fuel Use and Vehicle Distance"),("Ref_DD_Fuel_VehicleDistance"&amp;"_"&amp;C34&amp;"_"&amp;E34),
AND($E34&lt;&gt;"",$G34="Vehicle Distance (e.g. Road Transport)"),("Ref_DD_vehicle_VehicleDistance"&amp;"_"&amp;C34&amp;"_"&amp;E34),
AND($E34&lt;&gt;"",$G34="Weight Distance (e.g. Freight Transport)"),("Ref_DD_vehicle_WeightDistance"&amp;"_"&amp;C34&amp;"_"&amp;E34),
AND($E34&lt;&gt;"",$G34="Vehicle Distance (e.g. Public or Freight Transport)"),("Ref_DD_vehicle_DistanceS3"&amp;"_"&amp;C34),
AND($E34&lt;&gt;"",$G34="Passenger Distance (e.g. Public Transport)"),("Ref_DD_vehicle_Passenger"&amp;"_"&amp;C34&amp;"_"&amp;E34),
AND($E34="",$G34="Fuel Use"),("Ref_DD_vehicle_FuelUse"&amp;"_"&amp;C34),
AND($E34="",OR($G34="Vehicle Distance (e.g. Road Transport)",$G34="Fuel Use and Vehicle Distance")),("Ref_DD_vehicle_VehicleDistance"&amp;"_"&amp;C34),
AND($E34="",$G34="Weight Distance (e.g. Freight Transport)"),("Ref_DD_vehicle_WeightDistance"&amp;"_"&amp;C34),
AND($E34="",$G34="Vehicle Distance (e.g. Public or Freight Transport)"),("Ref_DD_vehicle_DistanceS3"&amp;"_"&amp;C34),
AND($E34="",$G34="Passenger Distance (e.g. Public Transport)"),("Ref_DD_vehicle_Passenger"&amp;"_"&amp;C34))</f>
        <v>#N/A</v>
      </c>
      <c r="AZ34" s="25" t="b">
        <f t="shared" ca="1" si="4"/>
        <v>0</v>
      </c>
      <c r="BA34" s="25" t="str">
        <f t="shared" si="5"/>
        <v/>
      </c>
      <c r="BB34" s="25" t="str">
        <f t="shared" si="6"/>
        <v/>
      </c>
      <c r="BC34" s="25" t="str">
        <f t="shared" si="50"/>
        <v/>
      </c>
      <c r="BD34" s="25" t="str">
        <f t="shared" si="51"/>
        <v/>
      </c>
      <c r="BE34" s="25" t="str">
        <f t="shared" si="52"/>
        <v/>
      </c>
      <c r="BF34" s="25" t="str">
        <f t="shared" si="53"/>
        <v/>
      </c>
      <c r="BG34" s="25" t="str">
        <f t="shared" si="7"/>
        <v/>
      </c>
      <c r="BH34" s="25" t="str">
        <f t="shared" si="8"/>
        <v/>
      </c>
      <c r="BI34" s="25" t="str">
        <f t="shared" si="54"/>
        <v/>
      </c>
      <c r="BJ34" s="25" t="str">
        <f t="shared" si="55"/>
        <v/>
      </c>
      <c r="BK34" s="25" t="str">
        <f t="shared" si="56"/>
        <v/>
      </c>
      <c r="BL34" s="25" t="str">
        <f t="shared" si="57"/>
        <v/>
      </c>
      <c r="BM34" s="25" t="str">
        <f t="shared" si="9"/>
        <v/>
      </c>
      <c r="BN34" s="25" t="str">
        <f t="shared" ca="1" si="10"/>
        <v/>
      </c>
      <c r="BO34" s="25" t="str">
        <f t="shared" si="11"/>
        <v/>
      </c>
      <c r="BP34" s="25" t="str">
        <f t="shared" si="12"/>
        <v/>
      </c>
      <c r="BQ34" s="25" t="str">
        <f t="shared" si="13"/>
        <v/>
      </c>
      <c r="BR34" s="25" t="str">
        <f t="shared" si="14"/>
        <v/>
      </c>
      <c r="BS34" s="25" t="str">
        <f t="shared" si="15"/>
        <v/>
      </c>
      <c r="BT34" s="25" t="str">
        <f t="shared" si="16"/>
        <v/>
      </c>
      <c r="BU34" s="25" t="str">
        <f t="shared" si="17"/>
        <v/>
      </c>
      <c r="BV34" s="25" t="str">
        <f t="shared" si="18"/>
        <v/>
      </c>
      <c r="BW34" s="25" t="str">
        <f t="shared" si="19"/>
        <v/>
      </c>
      <c r="BX34" s="25" t="str">
        <f t="shared" si="20"/>
        <v/>
      </c>
      <c r="BY34" s="25" t="str">
        <f t="shared" si="21"/>
        <v/>
      </c>
      <c r="BZ34" s="25" t="str">
        <f t="shared" si="22"/>
        <v/>
      </c>
      <c r="CA34" s="25" t="str">
        <f t="shared" si="23"/>
        <v/>
      </c>
      <c r="CB34" s="25" t="str">
        <f t="shared" si="24"/>
        <v/>
      </c>
      <c r="CC34" s="25" t="str">
        <f t="shared" si="25"/>
        <v/>
      </c>
      <c r="CD34" s="25" t="str">
        <f t="shared" si="26"/>
        <v/>
      </c>
      <c r="CE34" s="25" t="str">
        <f t="shared" si="27"/>
        <v/>
      </c>
      <c r="CF34" s="25" t="str">
        <f t="shared" si="28"/>
        <v/>
      </c>
      <c r="CG34" s="25" t="str">
        <f t="shared" si="29"/>
        <v/>
      </c>
      <c r="CH34" s="25" t="str">
        <f t="shared" si="30"/>
        <v/>
      </c>
      <c r="CI34" s="25" t="str">
        <f t="shared" si="31"/>
        <v/>
      </c>
      <c r="CJ34" s="25" t="str">
        <f t="shared" si="32"/>
        <v/>
      </c>
      <c r="CK34" s="25" t="str">
        <f t="shared" si="33"/>
        <v/>
      </c>
      <c r="CL34" s="25" t="str">
        <f t="shared" si="34"/>
        <v/>
      </c>
      <c r="CM34" s="25" t="str">
        <f t="shared" si="35"/>
        <v/>
      </c>
      <c r="CN34" s="25" t="str">
        <f t="shared" si="36"/>
        <v/>
      </c>
      <c r="CO34" s="25" t="str">
        <f t="shared" si="37"/>
        <v/>
      </c>
      <c r="CP34" s="25" t="str">
        <f t="shared" si="38"/>
        <v/>
      </c>
      <c r="CQ34" s="25" t="str">
        <f t="shared" si="39"/>
        <v/>
      </c>
      <c r="CR34" s="25" t="str">
        <f t="shared" si="40"/>
        <v/>
      </c>
      <c r="CS34" s="25" t="str">
        <f t="shared" si="41"/>
        <v/>
      </c>
      <c r="CT34" s="25" t="str">
        <f t="shared" si="42"/>
        <v/>
      </c>
      <c r="CU34" s="25" t="str">
        <f t="shared" si="43"/>
        <v/>
      </c>
      <c r="CV34" s="25" t="str">
        <f t="shared" si="44"/>
        <v/>
      </c>
      <c r="CW34" s="25" t="str">
        <f t="shared" si="45"/>
        <v/>
      </c>
      <c r="CX34" s="25" t="str" cm="1">
        <f t="array" ref="CX34">_xlfn.IFNA(_xlfn.IFS(
$G34="Weight Distance (e.g. Freight Transport)","Ref_DD_WeightDistanceUnits",
$G34="Passenger Distance (e.g. Public Transport)","Ref_DD_PasengerDistanceUnits",
$G34="Vehicle Distance (e.g. Road Transport)", "Ref_DD_DistanceUnit",
$G34="Vehicle Distance (e.g. Public or Freight Transport)","Ref_DD_DistanceUnit",
$G34="Fuel Use and Vehicle Distance", "Ref_DD_DistanceUnit",
$G34="Custom Vehicle",VLOOKUP($H34,'2. Settings'!$B$39:$I$54,8,FALSE)),"")</f>
        <v/>
      </c>
      <c r="CY34" s="27" t="str">
        <f ca="1">IF(AND(ISERROR(#REF!*$AU34)=TRUE,ISERROR((S34/1000)*$AV34)=TRUE,ISERROR((T34/1000)*$AW34)=FALSE),((T34/1000)*$AW34),"")</f>
        <v/>
      </c>
      <c r="CZ34" s="27" cm="1">
        <f t="array" ref="CZ34">IFERROR(_xlfn.IFS(
AND($G34="Custom vehicle",OR($J34="Passenger Mile",$J34="Passenger Kilometer")),"Passenger Distance (e.g. Public Transport)",
AND($G34="Custom vehicle",OR($J34="Tonne Mile",$J34="Tonne Kilometer",$J34="Short Ton Kilometer",$J34="Short Ton Mile")),"Weight Distance (e.g. Freight Transport)",
AND($G34="Custom vehicle",OR($J34="Mile",$J34="Kilometer")),"Vehicle Distance (e.g. Road Transport)",
$G34&lt;&gt;"Custom vehicle",$G34),"")</f>
        <v>0</v>
      </c>
      <c r="DA34" s="27" t="str" cm="1">
        <f t="array" ref="DA34">IFERROR(_xlfn.IFS(OR(J34="Tonne Kilometer",J34="Tonne Mile",J34="Short Ton Mile",J34="Short Ton Kilometer"),I34*K34,OR(J34="Passenger Kilometer",J34="Passenger Mile"),I34*L34,OR(J34="Kilometer",J34="Mile"),$I34),"")</f>
        <v/>
      </c>
    </row>
    <row r="35" spans="2:105" x14ac:dyDescent="0.25">
      <c r="B35" s="244"/>
      <c r="C35" s="71" t="str" cm="1">
        <f t="array" ref="C35">IFERROR(_xlfn.IFS($D35="Other", D35&amp;"_" &amp;Ref_Other_to,OR($D35="UK", $D35="US"),$D35),"")</f>
        <v/>
      </c>
      <c r="D35" s="71"/>
      <c r="E35" s="71"/>
      <c r="F35" s="71"/>
      <c r="G35" s="72"/>
      <c r="H35" s="72"/>
      <c r="I35" s="73"/>
      <c r="J35" s="73"/>
      <c r="K35" s="73"/>
      <c r="L35" s="73"/>
      <c r="M35" s="74"/>
      <c r="N35" s="75"/>
      <c r="O35" s="71"/>
      <c r="P35" s="165" t="str">
        <f t="shared" si="58"/>
        <v/>
      </c>
      <c r="Q35" s="166" t="str">
        <f t="shared" si="46"/>
        <v/>
      </c>
      <c r="R35" s="76" t="str" cm="1">
        <f t="array" aca="1" ref="R35" ca="1">IFERROR(_xlfn.IFS(
AND(AA35&gt;0, OR($G35="Fuel Use",$G35="Custom Fuel")),$N35*$AA35*$AM35*$AN35,
AND(AA35&gt;0,$CZ35="Vehicle Distance (e.g. Road Transport)"),$I35*$AA35*$AM35*$AN35,
AND(AA35&gt;0,$CZ35="Vehicle Distance (e.g. Public or Freight Transport)"),$I35*$AA35*$AM35*$AN35,
AND(AA35&gt;0,$CZ35="Fuel Use and Vehicle Distance"),$N35*$AA35*$AM35*$AN35,
AND(AA35&gt;0,$CZ35="Passenger Distance (e.g. Public Transport)"),$DA35*$AA35*$AM35*$AN35,
AND(AA35&gt;0,$CZ35="Weight Distance (e.g. Freight Transport)"),$DA35*$AA35*$AM35*$AN35),"")</f>
        <v/>
      </c>
      <c r="S35" s="77" t="str" cm="1">
        <f t="array" aca="1" ref="S35" ca="1">IFERROR(_xlfn.IFS(
AND(AG35&gt;-1, $G35="Fuel Use and Vehicle Distance"),$I35*$AG35*$AQ35*$AR35,
AND(AG35&gt;-1, $G35="Vehicle Distance (e.g. Road Transport)"),$I35*$AG35*$AQ35*$AR35,
AND(AG35&gt;-1, $CZ35="Vehicle Distance (e.g. Public or Freight Transport)"),$I35*$AG35*$AQ35*$AR35,
AND(AG35&gt;-1, OR($G35="Fuel Use",$G35="Custom Fuel")), $N35*$AG35*$AQ35*$AR35*1000,
AND(AG35&gt;-1, $G35="Custom Vehicle"),$DA35*$AG35*$AQ35*$AR35*1000,
AND(AG35&gt;-1, AND($G35&lt;&gt;"Custom Vehicle",$CZ35="Weight Distance (e.g. Freight Transport)")),$DA35*$AG35*$AQ35*$AR35*1000,
AND(AG35&gt;-1, AND($G35&lt;&gt;"Custom Vehicle",$CZ35="Passenger Distance (e.g. Public Transport)")), $DA35*$AG35*$AQ35*$AR35*1000),"")</f>
        <v/>
      </c>
      <c r="T35" s="77" t="str" cm="1">
        <f t="array" aca="1" ref="T35" ca="1">IFERROR(_xlfn.IFS(
AND(AJ35&gt;0,$G35="Fuel Use and Vehicle Distance"),$I35*$AJ35*$AS35*$AT35,
AND(AJ35&gt;0,$G35="Vehicle Distance (e.g. Road Transport)"),$I35*$AJ35*$AS35*$AT35,
AND(AJ35&gt;0,$G35="Vehicle Distance (e.g. Public or Freight Transport)"),$I35*$AJ35*$AS35*$AT35,
AND(AJ35&gt;0,OR($G35="Fuel Use",$G35="Custom Fuel")), $N35*$AJ35*$AS35*$AT35*1000,
AND(AJ35&gt;0,$G35="Custom Vehicle"),$DA35*$AJ35*$AS35*$AT35*1000,
AND(AJ35&gt;0,AND($G35&lt;&gt;"Custom Vehicle",$CZ35="Weight Distance (e.g. Freight Transport)")),$DA35*$AJ35*$AS35*$AT35*1000,
AND(AJ35&gt;0,AND($G35&lt;&gt;"Custom Vehicle",$CZ35="Passenger Distance (e.g. Public Transport)")), $DA35*$AJ35*$AS35*$AT35*1000),"")</f>
        <v/>
      </c>
      <c r="U35" s="78" t="str">
        <f t="shared" ca="1" si="47"/>
        <v/>
      </c>
      <c r="V35" s="161" t="str" cm="1">
        <f t="array" aca="1" ref="V35" ca="1">IFERROR(_xlfn.IFS(
AND(AD35&gt;0,OR($CZ35="Fuel Use",$CZ35="Custom Fuel",$CZ35="Fuel Use and Vehicle Distance")),($N35*$AD35*$AO35*$AP35),
AND(AD35&gt;0,$G35="Custom Vehicle"),$DA35*$AD35*$AO35*$AP35,
AND(AD35&gt;0,$CZ35="Vehicle Distance (e.g. Public or Freight Transport)"),$I35*$AD35*$AM35*$AN35,
AND(AD35&gt;0,$CZ35="Weight Distance (e.g. Freight Transport)"),($I35*$K35*$AD35*$AO35*$AP35),
AND(AD35&gt;0,$CZ35="Passenger Distance (e.g. Public Transport)"),$I35*$L35*$AD35*$AO35*$AP35,
AND(AD35&gt;0,$CZ35="Vehicle Distance (e.g. Road Transport)"),($I35*$AD35*$AO35*$AP35)),"")</f>
        <v/>
      </c>
      <c r="W35" s="164" t="str" cm="1">
        <f t="array" aca="1" ref="W35" ca="1">IFERROR(_xlfn.IFS(AND(ISNUMBER(R35),AA35=0),AA35&amp;" "&amp;"("&amp;AB35&amp;" CO2/"&amp;AC35&amp;")",AND(ISNUMBER(R35),AA35&gt;0),ROUND(AA35,INT(3-LOG(AA35)))&amp;" "&amp;"("&amp;AB35&amp;" CO2/"&amp;AC35&amp;")"),"")</f>
        <v/>
      </c>
      <c r="X35" s="164" t="str" cm="1">
        <f t="array" aca="1" ref="X35" ca="1">IFERROR(_xlfn.IFS(AND(ISNUMBER(S35), AG35=0),AG35&amp;" "&amp;"("&amp;AH35&amp;" CH4/"&amp;AI35&amp;")",AND(ISNUMBER(S35), AG35&gt;0),ROUND(AG35,INT(3-LOG(AG35)))&amp;" "&amp;"("&amp;AH35&amp;" CH4/"&amp;AI35&amp;")"),"")</f>
        <v/>
      </c>
      <c r="Y35" s="164" t="str" cm="1">
        <f t="array" aca="1" ref="Y35" ca="1">IFERROR(_xlfn.IFS(AND(ISNUMBER(T35), AJ35=0),AJ35&amp;" "&amp;"("&amp;AK35&amp;" CH4/"&amp;AL35&amp;")",AND(ISNUMBER(T35), AJ35&gt;0),ROUND(AJ35,INT(3-LOG(AJ35)))&amp;" "&amp;"("&amp;AK35&amp;" N2O/"&amp;AL35&amp;")"),"")</f>
        <v/>
      </c>
      <c r="Z35" s="245" t="str" cm="1">
        <f t="array" aca="1" ref="Z35" ca="1">IFERROR(_xlfn.IFS(AND(ISNUMBER(V35),AD35=0),AD35&amp;" "&amp;"("&amp;AE35&amp;" CO2/"&amp;AF35&amp;")",AND(ISNUMBER(V35),AD35&gt;0),ROUND(AD35,INT(3-LOG(AD35)))&amp;" "&amp;"("&amp;AE35&amp;" CO2/"&amp;AF35&amp;")"),"")</f>
        <v/>
      </c>
      <c r="AA35" s="240" t="str" cm="1">
        <f t="array" aca="1" ref="AA35" ca="1">IFERROR(_xlfn.IFS(
OR($G35="Fuel Use",$G35="Fuel Use and Vehicle Distance"),VLOOKUP($M35,INDIRECT("Ref_EF_ByFuel"&amp;"_"&amp;$C35),3,0),
$G35="Vehicle Distance (e.g. Road Transport)",VLOOKUP($H35,INDIRECT("Ref_EF_Vehicle_Distance"&amp;"_"&amp;$C35),3,0),
$G35="Vehicle Distance (e.g. Public or Freight Transport)",VLOOKUP($H35,INDIRECT("Ref_EF_Vehicle_Distance_S3"&amp;"_"&amp;$C35),3,0),
$G35="Custom Vehicle",VLOOKUP($H35,Tbl_vehical_Settings,2,0),
$G35="Custom Fuel",VLOOKUP($M35,Tbl_Fuel_Settings,2,0),
$G35="Weight Distance (e.g. Freight Transport)",VLOOKUP($H35,INDIRECT("Ref_EF_Weight_Distance"&amp;"_"&amp;$C35),3,0),
$G35="Passenger Distance (e.g. Public Transport)",VLOOKUP($H35,INDIRECT("Ref_EF_Public_Transport"&amp;"_"&amp;$C35),3,0)),"")</f>
        <v/>
      </c>
      <c r="AB35" s="31" t="str" cm="1">
        <f t="array" aca="1" ref="AB35" ca="1">IFERROR(_xlfn.IFS(
OR($G35="Fuel Use",$G35="Fuel Use and Vehicle Distance"),VLOOKUP($M35,INDIRECT("Ref_EF_ByFuel"&amp;"_"&amp;$C35),5,0),
$G35="Vehicle Distance (e.g. Road Transport)",VLOOKUP($H35,INDIRECT("Ref_EF_Vehicle_Distance"&amp;"_"&amp;$C35),5,0),
$G35="Vehicle Distance (e.g. Public or Freight Transport)",VLOOKUP($H35,INDIRECT("Ref_EF_Vehicle_Distance_S3"&amp;"_"&amp;$C35),5,0),
$G35="Custom Vehicle",VLOOKUP($H35,Tbl_vehical_Settings,6,0),
$G35="Custom Fuel",VLOOKUP($M35,Tbl_Fuel_Settings,6,0),
$G35="Weight Distance (e.g. Freight Transport)",VLOOKUP($H35,INDIRECT("Ref_EF_Weight_Distance"&amp;"_"&amp;$C35),5,0),
$G35="Passenger Distance (e.g. Public Transport)",VLOOKUP($H35,INDIRECT("Ref_EF_Public_Transport"&amp;"_"&amp;$C35),5,0)),"")</f>
        <v/>
      </c>
      <c r="AC35" s="31" t="str" cm="1">
        <f t="array" aca="1" ref="AC35" ca="1">IFERROR(_xlfn.IFS(
OR($G35="Fuel Use",$G35="Fuel Use and Vehicle Distance"),VLOOKUP($M35,INDIRECT("Ref_EF_ByFuel"&amp;"_"&amp;$C35),6,0),
$G35="Vehicle Distance (e.g. Road Transport)",VLOOKUP($H35,INDIRECT("Ref_EF_Vehicle_Distance"&amp;"_"&amp;$C35),6,0),
$G35="Vehicle Distance (e.g. Public or Freight Transport)",VLOOKUP($H35,INDIRECT("Ref_EF_Vehicle_Distance_S3"&amp;"_"&amp;$C35),6,0),
$G35="Custom Vehicle",VLOOKUP($H35,Tbl_vehical_Settings,7,0),
$G35="Custom Fuel",VLOOKUP($M35,Tbl_Fuel_Settings,7,0),
$G35="Weight Distance (e.g. Freight Transport)",VLOOKUP($H35,INDIRECT("Ref_EF_Weight_Distance"&amp;"_"&amp;$C35),6,0),
$G35="Passenger Distance (e.g. Public Transport)",VLOOKUP($H35,INDIRECT("Ref_EF_Public_Transport"&amp;"_"&amp;$C35),6,0)),"")</f>
        <v/>
      </c>
      <c r="AD35" s="31" t="str" cm="1">
        <f t="array" aca="1" ref="AD35" ca="1">IFERROR(_xlfn.IFS(
OR($G35="Fuel Use",$G35="Fuel Use and Vehicle Distance"),VLOOKUP($M35,INDIRECT("Ref_EF_ByFuel"&amp;"_"&amp;$C35),4,0),
$G35="Vehicle Distance (e.g. Road Transport)",VLOOKUP($H35,INDIRECT("Ref_EF_Vehicle_Distance"&amp;"_"&amp;$C35),4,0),
$G35="Vehicle Distance (e.g. Public or Freight Transport)",VLOOKUP($H35,INDIRECT("Ref_EF_Vehicle_Distance_S3"&amp;"_"&amp;$C35),4,0),
$G35="Custom Vehicle",VLOOKUP($H35,Tbl_vehical_Settings,5,0),
$G35="Custom Fuel",VLOOKUP($M35,Tbl_Fuel_Settings,5,0),
$G35="Weight Distance (e.g. Freight Transport)",VLOOKUP($H35,INDIRECT("Ref_EF_Weight_Distance"&amp;"_"&amp;$C35),4,0),
$G35="Passenger Distance (e.g. Public Transport)",VLOOKUP($H35,INDIRECT("Ref_EF_Public_Transport"&amp;"_"&amp;$C35),4,0)),"")</f>
        <v/>
      </c>
      <c r="AE35" s="31" t="str" cm="1">
        <f t="array" aca="1" ref="AE35" ca="1">IFERROR(_xlfn.IFS(
OR($G35="Fuel Use",$G35="Fuel Use and Vehicle Distance"),VLOOKUP($M35,INDIRECT("Ref_EF_ByFuel"&amp;"_"&amp;$C35),5,0),
$G35="Vehicle Distance (e.g. Road Transport)",VLOOKUP($H35,INDIRECT("Ref_EF_Vehicle_Distance"&amp;"_"&amp;$C35),5,0),
$G35="Vehicle Distance (e.g. Public or Freight Transport)",VLOOKUP($H35,INDIRECT("Ref_EF_Vehicle_Distance_S3"&amp;"_"&amp;$C35),5,0),
$G35="Custom Vehicle",VLOOKUP($H35,Tbl_vehical_Settings,6,0),
$G35="Custom Fuel",VLOOKUP($M35,Tbl_Fuel_Settings,6,0),
$G35="Weight Distance (e.g. Freight Transport)",VLOOKUP($H35,INDIRECT("Ref_EF_Weight_Distance"&amp;"_"&amp;$C35),5,0),
$G35="Passenger Distance (e.g. Public Transport)",VLOOKUP($H35,INDIRECT("Ref_EF_Public_Transport"&amp;"_"&amp;$C35),5,0)),"")</f>
        <v/>
      </c>
      <c r="AF35" s="31" t="str" cm="1">
        <f t="array" aca="1" ref="AF35" ca="1">IFERROR(_xlfn.IFS(
OR($G35="Fuel Use",$G35="Fuel Use and Vehicle Distance"),VLOOKUP($M35,INDIRECT("Ref_EF_ByFuel"&amp;"_"&amp;$C35),6,0),
$G35="Vehicle Distance (e.g. Road Transport)",VLOOKUP($H35,INDIRECT("Ref_EF_Vehicle_Distance"&amp;"_"&amp;$C35),6,0),
$G35="Vehicle Distance (e.g. Public or Freight Transport)",VLOOKUP($H35,INDIRECT("Ref_EF_Vehicle_Distance_S3"&amp;"_"&amp;$C35),6,0),
$G35="Custom Vehicle",VLOOKUP($H35,Tbl_vehical_Settings,7,0),
$G35="Custom Fuel",VLOOKUP($M35,Tbl_Fuel_Settings,7,0),
$G35="Weight Distance (e.g. Freight Transport)",VLOOKUP($H35,INDIRECT("Ref_EF_Weight_Distance"&amp;"_"&amp;$C35),6,0),
$G35="Passenger Distance (e.g. Public Transport)",VLOOKUP($H35,INDIRECT("Ref_EF_Public_Transport"&amp;"_"&amp;$C35),6,0)),"")</f>
        <v/>
      </c>
      <c r="AG35" s="31" t="str" cm="1">
        <f t="array" aca="1" ref="AG35" ca="1">IFERROR(_xlfn.IFS(
AND($G35="Fuel Use",$E35&lt;&gt;"Road"),VLOOKUP($H35,INDIRECT("Ref_EF_ByFuel_CH4"&amp;"_"&amp;$C35),3,0),
$G35="Vehicle Distance (e.g. Road Transport)",VLOOKUP($H35,INDIRECT("Ref_EF_Vehicle_Distance"&amp;"_"&amp;$C35),7,0),
$G35="Vehicle Distance (e.g. Public or Freight Transport)",VLOOKUP($H35,INDIRECT("Ref_EF_Vehicle_Distance_S3"&amp;"_"&amp;$C35),7,0),
$G35="Fuel Use and Vehicle Distance",VLOOKUP($H35,INDIRECT("Ref_EF_Fuel_Vehicle_Distance"&amp;"_"&amp;$C35),3,0),
$G35="Custom Vehicle",VLOOKUP($H35,Tbl_vehical_Settings,3,0),
$G35="Custom Fuel",VLOOKUP($M35,Tbl_Fuel_Settings,3,0),
$G35="Weight Distance (e.g. Freight Transport)",VLOOKUP($H35,INDIRECT("Ref_EF_Weight_Distance_CH4"&amp;"_"&amp;$C35),3,0),
$G35="Passenger Distance (e.g. Public Transport)",VLOOKUP($H35,INDIRECT("Ref_EF_Public_Transport_CH4"&amp;"_"&amp;$C35),7,0)),"")</f>
        <v/>
      </c>
      <c r="AH35" s="31" t="str" cm="1">
        <f t="array" aca="1" ref="AH35" ca="1">IFERROR(_xlfn.IFS(
AND($G35="Fuel Use",$E35&lt;&gt;"Road"),VLOOKUP($H35,INDIRECT("Ref_EF_ByFuel_CH4"&amp;"_"&amp;$C35),4,0),
$G35="Vehicle Distance (e.g. Road Transport)",VLOOKUP($H35,INDIRECT("Ref_EF_Vehicle_Distance"&amp;"_"&amp;$C35),8,0),
$G35="Vehicle Distance (e.g. Public or Freight Transport)",VLOOKUP($H35,INDIRECT("Ref_EF_Vehicle_Distance_S3"&amp;"_"&amp;$C35),8,0),
$G35="Fuel Use and Vehicle Distance",VLOOKUP($H35,INDIRECT("Ref_EF_Fuel_Vehicle_Distance"&amp;"_"&amp;$C35),4,0),
$G35="Custom Vehicle",VLOOKUP($H35,Tbl_vehical_Settings,6,0),
$G35="Custom Fuel",VLOOKUP($M35,Tbl_Fuel_Settings,6,0),
$G35="Weight Distance (e.g. Freight Transport)",VLOOKUP($H35,INDIRECT("Ref_EF_Weight_Distance_CH4"&amp;"_"&amp;$C35),4,0),
$G35="Passenger Distance (e.g. Public Transport)",VLOOKUP($H35,INDIRECT("Ref_EF_Public_Transport_CH4"&amp;"_"&amp;$C35),8,0)),"")</f>
        <v/>
      </c>
      <c r="AI35" s="31" t="str" cm="1">
        <f t="array" aca="1" ref="AI35" ca="1">IFERROR(_xlfn.IFS(
AND($G35="Fuel Use",$E35&lt;&gt;"Road"),VLOOKUP($H35,INDIRECT("Ref_EF_ByFuel_CH4"&amp;"_"&amp;$C35),5,0),
$G35="Vehicle Distance (e.g. Road Transport)",VLOOKUP($H35,INDIRECT("Ref_EF_Vehicle_Distance"&amp;"_"&amp;$C35),9,0),
$G35="Vehicle Distance (e.g. Public or Freight Transport)",VLOOKUP($H35,INDIRECT("Ref_EF_Vehicle_Distance_S3"&amp;"_"&amp;$C35),9,0),
$G35="Fuel Use and Vehicle Distance",VLOOKUP($H35,INDIRECT("Ref_EF_Fuel_Vehicle_Distance"&amp;"_"&amp;$C35),5,0),
$G35="Custom Vehicle",VLOOKUP($H35,Tbl_vehical_Settings,7,0),
$G35="Custom Fuel",VLOOKUP($M35,Tbl_Fuel_Settings,7,0),
$G35="Weight Distance (e.g. Freight Transport)",VLOOKUP($H35,INDIRECT("Ref_EF_Weight_Distance_CH4"&amp;"_"&amp;$C35),5,0),
$G35="Passenger Distance (e.g. Public Transport)",VLOOKUP($H35,INDIRECT("Ref_EF_Public_Transport_CH4"&amp;"_"&amp;$C35),9,0)),"")</f>
        <v/>
      </c>
      <c r="AJ35" s="31" t="str" cm="1">
        <f t="array" aca="1" ref="AJ35" ca="1">IFERROR(_xlfn.IFS(
AND($G35="Fuel Use",$E35&lt;&gt;"Road"),VLOOKUP($H35,INDIRECT("Ref_EF_ByFuel_CH4"&amp;"_"&amp;$C35),6,0),
$G35="Vehicle Distance (e.g. Road Transport)",VLOOKUP($H35,INDIRECT("Ref_EF_Vehicle_Distance"&amp;"_"&amp;$C35),10,0),
$G35="Vehicle Distance (e.g. Public or Freight Transport)",VLOOKUP($H35,INDIRECT("Ref_EF_Vehicle_Distance_S3"&amp;"_"&amp;$C35),10,0),
$G35="Fuel Use and Vehicle Distance",VLOOKUP($H35,INDIRECT("Ref_EF_Fuel_Vehicle_Distance"&amp;"_"&amp;$C35),6,0),
$G35="Custom Vehicle",VLOOKUP($H35,Tbl_vehical_Settings,4,0),
$G35="Custom Fuel",VLOOKUP($M35,Tbl_Fuel_Settings,4,0),
$G35="Weight Distance (e.g. Freight Transport)",VLOOKUP($H35,INDIRECT("Ref_EF_Weight_Distance_CH4"&amp;"_"&amp;$C35),6,0),
$G35="Passenger Distance (e.g. Public Transport)",VLOOKUP($H35,INDIRECT("Ref_EF_Public_Transport_CH4"&amp;"_"&amp;$C35),10,0)),"")</f>
        <v/>
      </c>
      <c r="AK35" s="31" t="str" cm="1">
        <f t="array" aca="1" ref="AK35" ca="1">IFERROR(_xlfn.IFS(
AND($G35="Fuel Use",$E35&lt;&gt;"Road"),VLOOKUP($H35,INDIRECT("Ref_EF_ByFuel_CH4"&amp;"_"&amp;$C35),7,0),
$G35="Vehicle Distance (e.g. Road Transport)",VLOOKUP($H35,INDIRECT("Ref_EF_Vehicle_Distance"&amp;"_"&amp;$C35),11,0),
$G35="Vehicle Distance (e.g. Public or Freight Transport)",VLOOKUP($H35,INDIRECT("Ref_EF_Vehicle_Distance_S3"&amp;"_"&amp;$C35),11,0),
$G35="Fuel Use and Vehicle Distance",VLOOKUP($H35,INDIRECT("Ref_EF_Fuel_Vehicle_Distance"&amp;"_"&amp;$C35),7,0),
$G35="Custom Vehicle",VLOOKUP($H35,Tbl_vehical_Settings,6,0),
$G35="Custom Fuel",VLOOKUP($M35,Tbl_Fuel_Settings,6,0),
$G35="Weight Distance (e.g. Freight Transport)",VLOOKUP($H35,INDIRECT("Ref_EF_Weight_Distance_CH4"&amp;"_"&amp;$C35),7,0),
$G35="Passenger Distance (e.g. Public Transport)",VLOOKUP($H35,INDIRECT("Ref_EF_Public_Transport_CH4"&amp;"_"&amp;$C35),11,0)),"")</f>
        <v/>
      </c>
      <c r="AL35" s="31" t="str" cm="1">
        <f t="array" aca="1" ref="AL35" ca="1">IFERROR(_xlfn.IFS(
AND($G35="Fuel Use",$E35&lt;&gt;"Road"),VLOOKUP($H35,INDIRECT("Ref_EF_ByFuel_CH4"&amp;"_"&amp;$C35),8,0),
$G35="Vehicle Distance (e.g. Road Transport)",VLOOKUP($H35,INDIRECT("Ref_EF_Vehicle_Distance"&amp;"_"&amp;$C35),12,0),
$G35="Vehicle Distance (e.g. Public or Freight Transport)",VLOOKUP($H35,INDIRECT("Ref_EF_Vehicle_Distance_S3"&amp;"_"&amp;$C35),12,0),
$G35="Fuel Use and Vehicle Distance",VLOOKUP($H35,INDIRECT("Ref_EF_Fuel_Vehicle_Distance"&amp;"_"&amp;$C35),8,0),
$G35="Custom Vehicle",VLOOKUP($H35,Tbl_vehical_Settings,7,0),
$G35="Custom Fuel",VLOOKUP($M35,Tbl_Fuel_Settings,7,0),
$G35="Weight Distance (e.g. Freight Transport)",VLOOKUP($H35,INDIRECT("Ref_EF_Weight_Distance_CH4"&amp;"_"&amp;$C35),8,0),
$G35="Passenger Distance (e.g. Public Transport)",VLOOKUP($H35,INDIRECT("Ref_EF_Public_Transport_CH4"&amp;"_"&amp;$C35),12,0)),"")</f>
        <v/>
      </c>
      <c r="AM35" s="31" t="e">
        <f ca="1">INDEX(Ref_Master_Unit_Table,MATCH($AB35,REF_To_Unit,0),MATCH('Reference - Lookup and Unit'!$A$11,Ref_From_Units,0))</f>
        <v>#N/A</v>
      </c>
      <c r="AN35" s="31" t="e">
        <f t="shared" ca="1" si="0"/>
        <v>#N/A</v>
      </c>
      <c r="AO35" s="31" t="e">
        <f ca="1">INDEX(Ref_Master_Unit_Table,MATCH($AE35,REF_To_Unit,0),MATCH('Reference - Lookup and Unit'!$A$11,Ref_From_Units,0))</f>
        <v>#N/A</v>
      </c>
      <c r="AP35" s="31" t="e">
        <f t="shared" ca="1" si="59"/>
        <v>#N/A</v>
      </c>
      <c r="AQ35" s="31" t="e">
        <f ca="1">INDEX(Ref_Master_Unit_Table,MATCH($AH35,REF_To_Unit,0),MATCH('Reference - Lookup and Unit'!$A$11,Ref_From_Units,0))</f>
        <v>#N/A</v>
      </c>
      <c r="AR35" s="31" t="e">
        <f t="shared" ca="1" si="60"/>
        <v>#N/A</v>
      </c>
      <c r="AS35" s="31" t="e">
        <f ca="1">INDEX(Ref_Master_Unit_Table,MATCH($AK35,REF_To_Unit,0),MATCH('Reference - Lookup and Unit'!$A$11,Ref_From_Units,0))</f>
        <v>#N/A</v>
      </c>
      <c r="AT35" s="31" t="e">
        <f t="shared" ca="1" si="61"/>
        <v>#N/A</v>
      </c>
      <c r="AU35" s="31" t="e" cm="1">
        <f t="array" aca="1" ref="AU35"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35" s="31">
        <f t="shared" ca="1" si="48"/>
        <v>27.9</v>
      </c>
      <c r="AW35" s="31">
        <f t="shared" ca="1" si="49"/>
        <v>273</v>
      </c>
      <c r="AX35" s="31" t="e" cm="1">
        <f t="array" aca="1" ref="AX35"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35" s="25" t="e" cm="1">
        <f t="array" ref="AY35">_xlfn.IFS(
AND($E35&lt;&gt;"",$G35="Custom Fuel"),("Settings_Custom_Fuels"),
AND($E35&lt;&gt;"",$G35="Custom vehicle"),("Settings_Custom_Vehicle"),
AND($E35&lt;&gt;"",$G35="Fuel Use"),("Ref_DD_vehicle_FuelUse"&amp;"_"&amp;C35&amp;"_"&amp;E35),
AND($E35&lt;&gt;"",$G35="Fuel Use and Vehicle Distance"),("Ref_DD_Fuel_VehicleDistance"&amp;"_"&amp;C35&amp;"_"&amp;E35),
AND($E35&lt;&gt;"",$G35="Vehicle Distance (e.g. Road Transport)"),("Ref_DD_vehicle_VehicleDistance"&amp;"_"&amp;C35&amp;"_"&amp;E35),
AND($E35&lt;&gt;"",$G35="Weight Distance (e.g. Freight Transport)"),("Ref_DD_vehicle_WeightDistance"&amp;"_"&amp;C35&amp;"_"&amp;E35),
AND($E35&lt;&gt;"",$G35="Vehicle Distance (e.g. Public or Freight Transport)"),("Ref_DD_vehicle_DistanceS3"&amp;"_"&amp;C35),
AND($E35&lt;&gt;"",$G35="Passenger Distance (e.g. Public Transport)"),("Ref_DD_vehicle_Passenger"&amp;"_"&amp;C35&amp;"_"&amp;E35),
AND($E35="",$G35="Fuel Use"),("Ref_DD_vehicle_FuelUse"&amp;"_"&amp;C35),
AND($E35="",OR($G35="Vehicle Distance (e.g. Road Transport)",$G35="Fuel Use and Vehicle Distance")),("Ref_DD_vehicle_VehicleDistance"&amp;"_"&amp;C35),
AND($E35="",$G35="Weight Distance (e.g. Freight Transport)"),("Ref_DD_vehicle_WeightDistance"&amp;"_"&amp;C35),
AND($E35="",$G35="Vehicle Distance (e.g. Public or Freight Transport)"),("Ref_DD_vehicle_DistanceS3"&amp;"_"&amp;C35),
AND($E35="",$G35="Passenger Distance (e.g. Public Transport)"),("Ref_DD_vehicle_Passenger"&amp;"_"&amp;C35))</f>
        <v>#N/A</v>
      </c>
      <c r="AZ35" s="25" t="b">
        <f t="shared" ca="1" si="4"/>
        <v>0</v>
      </c>
      <c r="BA35" s="25" t="str">
        <f t="shared" si="5"/>
        <v/>
      </c>
      <c r="BB35" s="25" t="str">
        <f t="shared" si="6"/>
        <v/>
      </c>
      <c r="BC35" s="25" t="str">
        <f t="shared" si="50"/>
        <v/>
      </c>
      <c r="BD35" s="25" t="str">
        <f t="shared" si="51"/>
        <v/>
      </c>
      <c r="BE35" s="25" t="str">
        <f t="shared" si="52"/>
        <v/>
      </c>
      <c r="BF35" s="25" t="str">
        <f t="shared" si="53"/>
        <v/>
      </c>
      <c r="BG35" s="25" t="str">
        <f t="shared" si="7"/>
        <v/>
      </c>
      <c r="BH35" s="25" t="str">
        <f t="shared" si="8"/>
        <v/>
      </c>
      <c r="BI35" s="25" t="str">
        <f t="shared" si="54"/>
        <v/>
      </c>
      <c r="BJ35" s="25" t="str">
        <f t="shared" si="55"/>
        <v/>
      </c>
      <c r="BK35" s="25" t="str">
        <f t="shared" si="56"/>
        <v/>
      </c>
      <c r="BL35" s="25" t="str">
        <f t="shared" si="57"/>
        <v/>
      </c>
      <c r="BM35" s="25" t="str">
        <f t="shared" si="9"/>
        <v/>
      </c>
      <c r="BN35" s="25" t="str">
        <f t="shared" ca="1" si="10"/>
        <v/>
      </c>
      <c r="BO35" s="25" t="str">
        <f t="shared" si="11"/>
        <v/>
      </c>
      <c r="BP35" s="25" t="str">
        <f t="shared" si="12"/>
        <v/>
      </c>
      <c r="BQ35" s="25" t="str">
        <f t="shared" si="13"/>
        <v/>
      </c>
      <c r="BR35" s="25" t="str">
        <f t="shared" si="14"/>
        <v/>
      </c>
      <c r="BS35" s="25" t="str">
        <f t="shared" si="15"/>
        <v/>
      </c>
      <c r="BT35" s="25" t="str">
        <f t="shared" si="16"/>
        <v/>
      </c>
      <c r="BU35" s="25" t="str">
        <f t="shared" si="17"/>
        <v/>
      </c>
      <c r="BV35" s="25" t="str">
        <f t="shared" si="18"/>
        <v/>
      </c>
      <c r="BW35" s="25" t="str">
        <f t="shared" si="19"/>
        <v/>
      </c>
      <c r="BX35" s="25" t="str">
        <f t="shared" si="20"/>
        <v/>
      </c>
      <c r="BY35" s="25" t="str">
        <f t="shared" si="21"/>
        <v/>
      </c>
      <c r="BZ35" s="25" t="str">
        <f t="shared" si="22"/>
        <v/>
      </c>
      <c r="CA35" s="25" t="str">
        <f t="shared" si="23"/>
        <v/>
      </c>
      <c r="CB35" s="25" t="str">
        <f t="shared" si="24"/>
        <v/>
      </c>
      <c r="CC35" s="25" t="str">
        <f t="shared" si="25"/>
        <v/>
      </c>
      <c r="CD35" s="25" t="str">
        <f t="shared" si="26"/>
        <v/>
      </c>
      <c r="CE35" s="25" t="str">
        <f t="shared" si="27"/>
        <v/>
      </c>
      <c r="CF35" s="25" t="str">
        <f t="shared" si="28"/>
        <v/>
      </c>
      <c r="CG35" s="25" t="str">
        <f t="shared" si="29"/>
        <v/>
      </c>
      <c r="CH35" s="25" t="str">
        <f t="shared" si="30"/>
        <v/>
      </c>
      <c r="CI35" s="25" t="str">
        <f t="shared" si="31"/>
        <v/>
      </c>
      <c r="CJ35" s="25" t="str">
        <f t="shared" si="32"/>
        <v/>
      </c>
      <c r="CK35" s="25" t="str">
        <f t="shared" si="33"/>
        <v/>
      </c>
      <c r="CL35" s="25" t="str">
        <f t="shared" si="34"/>
        <v/>
      </c>
      <c r="CM35" s="25" t="str">
        <f t="shared" si="35"/>
        <v/>
      </c>
      <c r="CN35" s="25" t="str">
        <f t="shared" si="36"/>
        <v/>
      </c>
      <c r="CO35" s="25" t="str">
        <f t="shared" si="37"/>
        <v/>
      </c>
      <c r="CP35" s="25" t="str">
        <f t="shared" si="38"/>
        <v/>
      </c>
      <c r="CQ35" s="25" t="str">
        <f t="shared" si="39"/>
        <v/>
      </c>
      <c r="CR35" s="25" t="str">
        <f t="shared" si="40"/>
        <v/>
      </c>
      <c r="CS35" s="25" t="str">
        <f t="shared" si="41"/>
        <v/>
      </c>
      <c r="CT35" s="25" t="str">
        <f t="shared" si="42"/>
        <v/>
      </c>
      <c r="CU35" s="25" t="str">
        <f t="shared" si="43"/>
        <v/>
      </c>
      <c r="CV35" s="25" t="str">
        <f t="shared" si="44"/>
        <v/>
      </c>
      <c r="CW35" s="25" t="str">
        <f t="shared" si="45"/>
        <v/>
      </c>
      <c r="CX35" s="25" t="str" cm="1">
        <f t="array" ref="CX35">_xlfn.IFNA(_xlfn.IFS(
$G35="Weight Distance (e.g. Freight Transport)","Ref_DD_WeightDistanceUnits",
$G35="Passenger Distance (e.g. Public Transport)","Ref_DD_PasengerDistanceUnits",
$G35="Vehicle Distance (e.g. Road Transport)", "Ref_DD_DistanceUnit",
$G35="Vehicle Distance (e.g. Public or Freight Transport)","Ref_DD_DistanceUnit",
$G35="Fuel Use and Vehicle Distance", "Ref_DD_DistanceUnit",
$G35="Custom Vehicle",VLOOKUP($H35,'2. Settings'!$B$39:$I$54,8,FALSE)),"")</f>
        <v/>
      </c>
      <c r="CY35" s="27" t="str">
        <f ca="1">IF(AND(ISERROR(#REF!*$AU35)=TRUE,ISERROR((S35/1000)*$AV35)=TRUE,ISERROR((T35/1000)*$AW35)=FALSE),((T35/1000)*$AW35),"")</f>
        <v/>
      </c>
      <c r="CZ35" s="27" cm="1">
        <f t="array" ref="CZ35">IFERROR(_xlfn.IFS(
AND($G35="Custom vehicle",OR($J35="Passenger Mile",$J35="Passenger Kilometer")),"Passenger Distance (e.g. Public Transport)",
AND($G35="Custom vehicle",OR($J35="Tonne Mile",$J35="Tonne Kilometer",$J35="Short Ton Kilometer",$J35="Short Ton Mile")),"Weight Distance (e.g. Freight Transport)",
AND($G35="Custom vehicle",OR($J35="Mile",$J35="Kilometer")),"Vehicle Distance (e.g. Road Transport)",
$G35&lt;&gt;"Custom vehicle",$G35),"")</f>
        <v>0</v>
      </c>
      <c r="DA35" s="27" t="str" cm="1">
        <f t="array" ref="DA35">IFERROR(_xlfn.IFS(OR(J35="Tonne Kilometer",J35="Tonne Mile",J35="Short Ton Mile",J35="Short Ton Kilometer"),I35*K35,OR(J35="Passenger Kilometer",J35="Passenger Mile"),I35*L35,OR(J35="Kilometer",J35="Mile"),$I35),"")</f>
        <v/>
      </c>
    </row>
    <row r="36" spans="2:105" x14ac:dyDescent="0.25">
      <c r="B36" s="244"/>
      <c r="C36" s="71" t="str" cm="1">
        <f t="array" ref="C36">IFERROR(_xlfn.IFS($D36="Other", D36&amp;"_" &amp;Ref_Other_to,OR($D36="UK", $D36="US"),$D36),"")</f>
        <v/>
      </c>
      <c r="D36" s="71"/>
      <c r="E36" s="71"/>
      <c r="F36" s="71"/>
      <c r="G36" s="72"/>
      <c r="H36" s="72"/>
      <c r="I36" s="73"/>
      <c r="J36" s="73"/>
      <c r="K36" s="73"/>
      <c r="L36" s="73"/>
      <c r="M36" s="74"/>
      <c r="N36" s="75"/>
      <c r="O36" s="71"/>
      <c r="P36" s="165" t="str">
        <f t="shared" si="58"/>
        <v/>
      </c>
      <c r="Q36" s="166" t="str">
        <f t="shared" si="46"/>
        <v/>
      </c>
      <c r="R36" s="76" t="str" cm="1">
        <f t="array" aca="1" ref="R36" ca="1">IFERROR(_xlfn.IFS(
AND(AA36&gt;0, OR($G36="Fuel Use",$G36="Custom Fuel")),$N36*$AA36*$AM36*$AN36,
AND(AA36&gt;0,$CZ36="Vehicle Distance (e.g. Road Transport)"),$I36*$AA36*$AM36*$AN36,
AND(AA36&gt;0,$CZ36="Vehicle Distance (e.g. Public or Freight Transport)"),$I36*$AA36*$AM36*$AN36,
AND(AA36&gt;0,$CZ36="Fuel Use and Vehicle Distance"),$N36*$AA36*$AM36*$AN36,
AND(AA36&gt;0,$CZ36="Passenger Distance (e.g. Public Transport)"),$DA36*$AA36*$AM36*$AN36,
AND(AA36&gt;0,$CZ36="Weight Distance (e.g. Freight Transport)"),$DA36*$AA36*$AM36*$AN36),"")</f>
        <v/>
      </c>
      <c r="S36" s="77" t="str" cm="1">
        <f t="array" aca="1" ref="S36" ca="1">IFERROR(_xlfn.IFS(
AND(AG36&gt;-1, $G36="Fuel Use and Vehicle Distance"),$I36*$AG36*$AQ36*$AR36,
AND(AG36&gt;-1, $G36="Vehicle Distance (e.g. Road Transport)"),$I36*$AG36*$AQ36*$AR36,
AND(AG36&gt;-1, $CZ36="Vehicle Distance (e.g. Public or Freight Transport)"),$I36*$AG36*$AQ36*$AR36,
AND(AG36&gt;-1, OR($G36="Fuel Use",$G36="Custom Fuel")), $N36*$AG36*$AQ36*$AR36*1000,
AND(AG36&gt;-1, $G36="Custom Vehicle"),$DA36*$AG36*$AQ36*$AR36*1000,
AND(AG36&gt;-1, AND($G36&lt;&gt;"Custom Vehicle",$CZ36="Weight Distance (e.g. Freight Transport)")),$DA36*$AG36*$AQ36*$AR36*1000,
AND(AG36&gt;-1, AND($G36&lt;&gt;"Custom Vehicle",$CZ36="Passenger Distance (e.g. Public Transport)")), $DA36*$AG36*$AQ36*$AR36*1000),"")</f>
        <v/>
      </c>
      <c r="T36" s="77" t="str" cm="1">
        <f t="array" aca="1" ref="T36" ca="1">IFERROR(_xlfn.IFS(
AND(AJ36&gt;0,$G36="Fuel Use and Vehicle Distance"),$I36*$AJ36*$AS36*$AT36,
AND(AJ36&gt;0,$G36="Vehicle Distance (e.g. Road Transport)"),$I36*$AJ36*$AS36*$AT36,
AND(AJ36&gt;0,$G36="Vehicle Distance (e.g. Public or Freight Transport)"),$I36*$AJ36*$AS36*$AT36,
AND(AJ36&gt;0,OR($G36="Fuel Use",$G36="Custom Fuel")), $N36*$AJ36*$AS36*$AT36*1000,
AND(AJ36&gt;0,$G36="Custom Vehicle"),$DA36*$AJ36*$AS36*$AT36*1000,
AND(AJ36&gt;0,AND($G36&lt;&gt;"Custom Vehicle",$CZ36="Weight Distance (e.g. Freight Transport)")),$DA36*$AJ36*$AS36*$AT36*1000,
AND(AJ36&gt;0,AND($G36&lt;&gt;"Custom Vehicle",$CZ36="Passenger Distance (e.g. Public Transport)")), $DA36*$AJ36*$AS36*$AT36*1000),"")</f>
        <v/>
      </c>
      <c r="U36" s="78" t="str">
        <f t="shared" ca="1" si="47"/>
        <v/>
      </c>
      <c r="V36" s="161" t="str" cm="1">
        <f t="array" aca="1" ref="V36" ca="1">IFERROR(_xlfn.IFS(
AND(AD36&gt;0,OR($CZ36="Fuel Use",$CZ36="Custom Fuel",$CZ36="Fuel Use and Vehicle Distance")),($N36*$AD36*$AO36*$AP36),
AND(AD36&gt;0,$G36="Custom Vehicle"),$DA36*$AD36*$AO36*$AP36,
AND(AD36&gt;0,$CZ36="Vehicle Distance (e.g. Public or Freight Transport)"),$I36*$AD36*$AM36*$AN36,
AND(AD36&gt;0,$CZ36="Weight Distance (e.g. Freight Transport)"),($I36*$K36*$AD36*$AO36*$AP36),
AND(AD36&gt;0,$CZ36="Passenger Distance (e.g. Public Transport)"),$I36*$L36*$AD36*$AO36*$AP36,
AND(AD36&gt;0,$CZ36="Vehicle Distance (e.g. Road Transport)"),($I36*$AD36*$AO36*$AP36)),"")</f>
        <v/>
      </c>
      <c r="W36" s="164" t="str" cm="1">
        <f t="array" aca="1" ref="W36" ca="1">IFERROR(_xlfn.IFS(AND(ISNUMBER(R36),AA36=0),AA36&amp;" "&amp;"("&amp;AB36&amp;" CO2/"&amp;AC36&amp;")",AND(ISNUMBER(R36),AA36&gt;0),ROUND(AA36,INT(3-LOG(AA36)))&amp;" "&amp;"("&amp;AB36&amp;" CO2/"&amp;AC36&amp;")"),"")</f>
        <v/>
      </c>
      <c r="X36" s="164" t="str" cm="1">
        <f t="array" aca="1" ref="X36" ca="1">IFERROR(_xlfn.IFS(AND(ISNUMBER(S36), AG36=0),AG36&amp;" "&amp;"("&amp;AH36&amp;" CH4/"&amp;AI36&amp;")",AND(ISNUMBER(S36), AG36&gt;0),ROUND(AG36,INT(3-LOG(AG36)))&amp;" "&amp;"("&amp;AH36&amp;" CH4/"&amp;AI36&amp;")"),"")</f>
        <v/>
      </c>
      <c r="Y36" s="164" t="str" cm="1">
        <f t="array" aca="1" ref="Y36" ca="1">IFERROR(_xlfn.IFS(AND(ISNUMBER(T36), AJ36=0),AJ36&amp;" "&amp;"("&amp;AK36&amp;" CH4/"&amp;AL36&amp;")",AND(ISNUMBER(T36), AJ36&gt;0),ROUND(AJ36,INT(3-LOG(AJ36)))&amp;" "&amp;"("&amp;AK36&amp;" N2O/"&amp;AL36&amp;")"),"")</f>
        <v/>
      </c>
      <c r="Z36" s="245" t="str" cm="1">
        <f t="array" aca="1" ref="Z36" ca="1">IFERROR(_xlfn.IFS(AND(ISNUMBER(V36),AD36=0),AD36&amp;" "&amp;"("&amp;AE36&amp;" CO2/"&amp;AF36&amp;")",AND(ISNUMBER(V36),AD36&gt;0),ROUND(AD36,INT(3-LOG(AD36)))&amp;" "&amp;"("&amp;AE36&amp;" CO2/"&amp;AF36&amp;")"),"")</f>
        <v/>
      </c>
      <c r="AA36" s="240" t="str" cm="1">
        <f t="array" aca="1" ref="AA36" ca="1">IFERROR(_xlfn.IFS(
OR($G36="Fuel Use",$G36="Fuel Use and Vehicle Distance"),VLOOKUP($M36,INDIRECT("Ref_EF_ByFuel"&amp;"_"&amp;$C36),3,0),
$G36="Vehicle Distance (e.g. Road Transport)",VLOOKUP($H36,INDIRECT("Ref_EF_Vehicle_Distance"&amp;"_"&amp;$C36),3,0),
$G36="Vehicle Distance (e.g. Public or Freight Transport)",VLOOKUP($H36,INDIRECT("Ref_EF_Vehicle_Distance_S3"&amp;"_"&amp;$C36),3,0),
$G36="Custom Vehicle",VLOOKUP($H36,Tbl_vehical_Settings,2,0),
$G36="Custom Fuel",VLOOKUP($M36,Tbl_Fuel_Settings,2,0),
$G36="Weight Distance (e.g. Freight Transport)",VLOOKUP($H36,INDIRECT("Ref_EF_Weight_Distance"&amp;"_"&amp;$C36),3,0),
$G36="Passenger Distance (e.g. Public Transport)",VLOOKUP($H36,INDIRECT("Ref_EF_Public_Transport"&amp;"_"&amp;$C36),3,0)),"")</f>
        <v/>
      </c>
      <c r="AB36" s="31" t="str" cm="1">
        <f t="array" aca="1" ref="AB36" ca="1">IFERROR(_xlfn.IFS(
OR($G36="Fuel Use",$G36="Fuel Use and Vehicle Distance"),VLOOKUP($M36,INDIRECT("Ref_EF_ByFuel"&amp;"_"&amp;$C36),5,0),
$G36="Vehicle Distance (e.g. Road Transport)",VLOOKUP($H36,INDIRECT("Ref_EF_Vehicle_Distance"&amp;"_"&amp;$C36),5,0),
$G36="Vehicle Distance (e.g. Public or Freight Transport)",VLOOKUP($H36,INDIRECT("Ref_EF_Vehicle_Distance_S3"&amp;"_"&amp;$C36),5,0),
$G36="Custom Vehicle",VLOOKUP($H36,Tbl_vehical_Settings,6,0),
$G36="Custom Fuel",VLOOKUP($M36,Tbl_Fuel_Settings,6,0),
$G36="Weight Distance (e.g. Freight Transport)",VLOOKUP($H36,INDIRECT("Ref_EF_Weight_Distance"&amp;"_"&amp;$C36),5,0),
$G36="Passenger Distance (e.g. Public Transport)",VLOOKUP($H36,INDIRECT("Ref_EF_Public_Transport"&amp;"_"&amp;$C36),5,0)),"")</f>
        <v/>
      </c>
      <c r="AC36" s="31" t="str" cm="1">
        <f t="array" aca="1" ref="AC36" ca="1">IFERROR(_xlfn.IFS(
OR($G36="Fuel Use",$G36="Fuel Use and Vehicle Distance"),VLOOKUP($M36,INDIRECT("Ref_EF_ByFuel"&amp;"_"&amp;$C36),6,0),
$G36="Vehicle Distance (e.g. Road Transport)",VLOOKUP($H36,INDIRECT("Ref_EF_Vehicle_Distance"&amp;"_"&amp;$C36),6,0),
$G36="Vehicle Distance (e.g. Public or Freight Transport)",VLOOKUP($H36,INDIRECT("Ref_EF_Vehicle_Distance_S3"&amp;"_"&amp;$C36),6,0),
$G36="Custom Vehicle",VLOOKUP($H36,Tbl_vehical_Settings,7,0),
$G36="Custom Fuel",VLOOKUP($M36,Tbl_Fuel_Settings,7,0),
$G36="Weight Distance (e.g. Freight Transport)",VLOOKUP($H36,INDIRECT("Ref_EF_Weight_Distance"&amp;"_"&amp;$C36),6,0),
$G36="Passenger Distance (e.g. Public Transport)",VLOOKUP($H36,INDIRECT("Ref_EF_Public_Transport"&amp;"_"&amp;$C36),6,0)),"")</f>
        <v/>
      </c>
      <c r="AD36" s="31" t="str" cm="1">
        <f t="array" aca="1" ref="AD36" ca="1">IFERROR(_xlfn.IFS(
OR($G36="Fuel Use",$G36="Fuel Use and Vehicle Distance"),VLOOKUP($M36,INDIRECT("Ref_EF_ByFuel"&amp;"_"&amp;$C36),4,0),
$G36="Vehicle Distance (e.g. Road Transport)",VLOOKUP($H36,INDIRECT("Ref_EF_Vehicle_Distance"&amp;"_"&amp;$C36),4,0),
$G36="Vehicle Distance (e.g. Public or Freight Transport)",VLOOKUP($H36,INDIRECT("Ref_EF_Vehicle_Distance_S3"&amp;"_"&amp;$C36),4,0),
$G36="Custom Vehicle",VLOOKUP($H36,Tbl_vehical_Settings,5,0),
$G36="Custom Fuel",VLOOKUP($M36,Tbl_Fuel_Settings,5,0),
$G36="Weight Distance (e.g. Freight Transport)",VLOOKUP($H36,INDIRECT("Ref_EF_Weight_Distance"&amp;"_"&amp;$C36),4,0),
$G36="Passenger Distance (e.g. Public Transport)",VLOOKUP($H36,INDIRECT("Ref_EF_Public_Transport"&amp;"_"&amp;$C36),4,0)),"")</f>
        <v/>
      </c>
      <c r="AE36" s="31" t="str" cm="1">
        <f t="array" aca="1" ref="AE36" ca="1">IFERROR(_xlfn.IFS(
OR($G36="Fuel Use",$G36="Fuel Use and Vehicle Distance"),VLOOKUP($M36,INDIRECT("Ref_EF_ByFuel"&amp;"_"&amp;$C36),5,0),
$G36="Vehicle Distance (e.g. Road Transport)",VLOOKUP($H36,INDIRECT("Ref_EF_Vehicle_Distance"&amp;"_"&amp;$C36),5,0),
$G36="Vehicle Distance (e.g. Public or Freight Transport)",VLOOKUP($H36,INDIRECT("Ref_EF_Vehicle_Distance_S3"&amp;"_"&amp;$C36),5,0),
$G36="Custom Vehicle",VLOOKUP($H36,Tbl_vehical_Settings,6,0),
$G36="Custom Fuel",VLOOKUP($M36,Tbl_Fuel_Settings,6,0),
$G36="Weight Distance (e.g. Freight Transport)",VLOOKUP($H36,INDIRECT("Ref_EF_Weight_Distance"&amp;"_"&amp;$C36),5,0),
$G36="Passenger Distance (e.g. Public Transport)",VLOOKUP($H36,INDIRECT("Ref_EF_Public_Transport"&amp;"_"&amp;$C36),5,0)),"")</f>
        <v/>
      </c>
      <c r="AF36" s="31" t="str" cm="1">
        <f t="array" aca="1" ref="AF36" ca="1">IFERROR(_xlfn.IFS(
OR($G36="Fuel Use",$G36="Fuel Use and Vehicle Distance"),VLOOKUP($M36,INDIRECT("Ref_EF_ByFuel"&amp;"_"&amp;$C36),6,0),
$G36="Vehicle Distance (e.g. Road Transport)",VLOOKUP($H36,INDIRECT("Ref_EF_Vehicle_Distance"&amp;"_"&amp;$C36),6,0),
$G36="Vehicle Distance (e.g. Public or Freight Transport)",VLOOKUP($H36,INDIRECT("Ref_EF_Vehicle_Distance_S3"&amp;"_"&amp;$C36),6,0),
$G36="Custom Vehicle",VLOOKUP($H36,Tbl_vehical_Settings,7,0),
$G36="Custom Fuel",VLOOKUP($M36,Tbl_Fuel_Settings,7,0),
$G36="Weight Distance (e.g. Freight Transport)",VLOOKUP($H36,INDIRECT("Ref_EF_Weight_Distance"&amp;"_"&amp;$C36),6,0),
$G36="Passenger Distance (e.g. Public Transport)",VLOOKUP($H36,INDIRECT("Ref_EF_Public_Transport"&amp;"_"&amp;$C36),6,0)),"")</f>
        <v/>
      </c>
      <c r="AG36" s="31" t="str" cm="1">
        <f t="array" aca="1" ref="AG36" ca="1">IFERROR(_xlfn.IFS(
AND($G36="Fuel Use",$E36&lt;&gt;"Road"),VLOOKUP($H36,INDIRECT("Ref_EF_ByFuel_CH4"&amp;"_"&amp;$C36),3,0),
$G36="Vehicle Distance (e.g. Road Transport)",VLOOKUP($H36,INDIRECT("Ref_EF_Vehicle_Distance"&amp;"_"&amp;$C36),7,0),
$G36="Vehicle Distance (e.g. Public or Freight Transport)",VLOOKUP($H36,INDIRECT("Ref_EF_Vehicle_Distance_S3"&amp;"_"&amp;$C36),7,0),
$G36="Fuel Use and Vehicle Distance",VLOOKUP($H36,INDIRECT("Ref_EF_Fuel_Vehicle_Distance"&amp;"_"&amp;$C36),3,0),
$G36="Custom Vehicle",VLOOKUP($H36,Tbl_vehical_Settings,3,0),
$G36="Custom Fuel",VLOOKUP($M36,Tbl_Fuel_Settings,3,0),
$G36="Weight Distance (e.g. Freight Transport)",VLOOKUP($H36,INDIRECT("Ref_EF_Weight_Distance_CH4"&amp;"_"&amp;$C36),3,0),
$G36="Passenger Distance (e.g. Public Transport)",VLOOKUP($H36,INDIRECT("Ref_EF_Public_Transport_CH4"&amp;"_"&amp;$C36),7,0)),"")</f>
        <v/>
      </c>
      <c r="AH36" s="31" t="str" cm="1">
        <f t="array" aca="1" ref="AH36" ca="1">IFERROR(_xlfn.IFS(
AND($G36="Fuel Use",$E36&lt;&gt;"Road"),VLOOKUP($H36,INDIRECT("Ref_EF_ByFuel_CH4"&amp;"_"&amp;$C36),4,0),
$G36="Vehicle Distance (e.g. Road Transport)",VLOOKUP($H36,INDIRECT("Ref_EF_Vehicle_Distance"&amp;"_"&amp;$C36),8,0),
$G36="Vehicle Distance (e.g. Public or Freight Transport)",VLOOKUP($H36,INDIRECT("Ref_EF_Vehicle_Distance_S3"&amp;"_"&amp;$C36),8,0),
$G36="Fuel Use and Vehicle Distance",VLOOKUP($H36,INDIRECT("Ref_EF_Fuel_Vehicle_Distance"&amp;"_"&amp;$C36),4,0),
$G36="Custom Vehicle",VLOOKUP($H36,Tbl_vehical_Settings,6,0),
$G36="Custom Fuel",VLOOKUP($M36,Tbl_Fuel_Settings,6,0),
$G36="Weight Distance (e.g. Freight Transport)",VLOOKUP($H36,INDIRECT("Ref_EF_Weight_Distance_CH4"&amp;"_"&amp;$C36),4,0),
$G36="Passenger Distance (e.g. Public Transport)",VLOOKUP($H36,INDIRECT("Ref_EF_Public_Transport_CH4"&amp;"_"&amp;$C36),8,0)),"")</f>
        <v/>
      </c>
      <c r="AI36" s="31" t="str" cm="1">
        <f t="array" aca="1" ref="AI36" ca="1">IFERROR(_xlfn.IFS(
AND($G36="Fuel Use",$E36&lt;&gt;"Road"),VLOOKUP($H36,INDIRECT("Ref_EF_ByFuel_CH4"&amp;"_"&amp;$C36),5,0),
$G36="Vehicle Distance (e.g. Road Transport)",VLOOKUP($H36,INDIRECT("Ref_EF_Vehicle_Distance"&amp;"_"&amp;$C36),9,0),
$G36="Vehicle Distance (e.g. Public or Freight Transport)",VLOOKUP($H36,INDIRECT("Ref_EF_Vehicle_Distance_S3"&amp;"_"&amp;$C36),9,0),
$G36="Fuel Use and Vehicle Distance",VLOOKUP($H36,INDIRECT("Ref_EF_Fuel_Vehicle_Distance"&amp;"_"&amp;$C36),5,0),
$G36="Custom Vehicle",VLOOKUP($H36,Tbl_vehical_Settings,7,0),
$G36="Custom Fuel",VLOOKUP($M36,Tbl_Fuel_Settings,7,0),
$G36="Weight Distance (e.g. Freight Transport)",VLOOKUP($H36,INDIRECT("Ref_EF_Weight_Distance_CH4"&amp;"_"&amp;$C36),5,0),
$G36="Passenger Distance (e.g. Public Transport)",VLOOKUP($H36,INDIRECT("Ref_EF_Public_Transport_CH4"&amp;"_"&amp;$C36),9,0)),"")</f>
        <v/>
      </c>
      <c r="AJ36" s="31" t="str" cm="1">
        <f t="array" aca="1" ref="AJ36" ca="1">IFERROR(_xlfn.IFS(
AND($G36="Fuel Use",$E36&lt;&gt;"Road"),VLOOKUP($H36,INDIRECT("Ref_EF_ByFuel_CH4"&amp;"_"&amp;$C36),6,0),
$G36="Vehicle Distance (e.g. Road Transport)",VLOOKUP($H36,INDIRECT("Ref_EF_Vehicle_Distance"&amp;"_"&amp;$C36),10,0),
$G36="Vehicle Distance (e.g. Public or Freight Transport)",VLOOKUP($H36,INDIRECT("Ref_EF_Vehicle_Distance_S3"&amp;"_"&amp;$C36),10,0),
$G36="Fuel Use and Vehicle Distance",VLOOKUP($H36,INDIRECT("Ref_EF_Fuel_Vehicle_Distance"&amp;"_"&amp;$C36),6,0),
$G36="Custom Vehicle",VLOOKUP($H36,Tbl_vehical_Settings,4,0),
$G36="Custom Fuel",VLOOKUP($M36,Tbl_Fuel_Settings,4,0),
$G36="Weight Distance (e.g. Freight Transport)",VLOOKUP($H36,INDIRECT("Ref_EF_Weight_Distance_CH4"&amp;"_"&amp;$C36),6,0),
$G36="Passenger Distance (e.g. Public Transport)",VLOOKUP($H36,INDIRECT("Ref_EF_Public_Transport_CH4"&amp;"_"&amp;$C36),10,0)),"")</f>
        <v/>
      </c>
      <c r="AK36" s="31" t="str" cm="1">
        <f t="array" aca="1" ref="AK36" ca="1">IFERROR(_xlfn.IFS(
AND($G36="Fuel Use",$E36&lt;&gt;"Road"),VLOOKUP($H36,INDIRECT("Ref_EF_ByFuel_CH4"&amp;"_"&amp;$C36),7,0),
$G36="Vehicle Distance (e.g. Road Transport)",VLOOKUP($H36,INDIRECT("Ref_EF_Vehicle_Distance"&amp;"_"&amp;$C36),11,0),
$G36="Vehicle Distance (e.g. Public or Freight Transport)",VLOOKUP($H36,INDIRECT("Ref_EF_Vehicle_Distance_S3"&amp;"_"&amp;$C36),11,0),
$G36="Fuel Use and Vehicle Distance",VLOOKUP($H36,INDIRECT("Ref_EF_Fuel_Vehicle_Distance"&amp;"_"&amp;$C36),7,0),
$G36="Custom Vehicle",VLOOKUP($H36,Tbl_vehical_Settings,6,0),
$G36="Custom Fuel",VLOOKUP($M36,Tbl_Fuel_Settings,6,0),
$G36="Weight Distance (e.g. Freight Transport)",VLOOKUP($H36,INDIRECT("Ref_EF_Weight_Distance_CH4"&amp;"_"&amp;$C36),7,0),
$G36="Passenger Distance (e.g. Public Transport)",VLOOKUP($H36,INDIRECT("Ref_EF_Public_Transport_CH4"&amp;"_"&amp;$C36),11,0)),"")</f>
        <v/>
      </c>
      <c r="AL36" s="31" t="str" cm="1">
        <f t="array" aca="1" ref="AL36" ca="1">IFERROR(_xlfn.IFS(
AND($G36="Fuel Use",$E36&lt;&gt;"Road"),VLOOKUP($H36,INDIRECT("Ref_EF_ByFuel_CH4"&amp;"_"&amp;$C36),8,0),
$G36="Vehicle Distance (e.g. Road Transport)",VLOOKUP($H36,INDIRECT("Ref_EF_Vehicle_Distance"&amp;"_"&amp;$C36),12,0),
$G36="Vehicle Distance (e.g. Public or Freight Transport)",VLOOKUP($H36,INDIRECT("Ref_EF_Vehicle_Distance_S3"&amp;"_"&amp;$C36),12,0),
$G36="Fuel Use and Vehicle Distance",VLOOKUP($H36,INDIRECT("Ref_EF_Fuel_Vehicle_Distance"&amp;"_"&amp;$C36),8,0),
$G36="Custom Vehicle",VLOOKUP($H36,Tbl_vehical_Settings,7,0),
$G36="Custom Fuel",VLOOKUP($M36,Tbl_Fuel_Settings,7,0),
$G36="Weight Distance (e.g. Freight Transport)",VLOOKUP($H36,INDIRECT("Ref_EF_Weight_Distance_CH4"&amp;"_"&amp;$C36),8,0),
$G36="Passenger Distance (e.g. Public Transport)",VLOOKUP($H36,INDIRECT("Ref_EF_Public_Transport_CH4"&amp;"_"&amp;$C36),12,0)),"")</f>
        <v/>
      </c>
      <c r="AM36" s="31" t="e">
        <f ca="1">INDEX(Ref_Master_Unit_Table,MATCH($AB36,REF_To_Unit,0),MATCH('Reference - Lookup and Unit'!$A$11,Ref_From_Units,0))</f>
        <v>#N/A</v>
      </c>
      <c r="AN36" s="31" t="e">
        <f t="shared" ca="1" si="0"/>
        <v>#N/A</v>
      </c>
      <c r="AO36" s="31" t="e">
        <f ca="1">INDEX(Ref_Master_Unit_Table,MATCH($AE36,REF_To_Unit,0),MATCH('Reference - Lookup and Unit'!$A$11,Ref_From_Units,0))</f>
        <v>#N/A</v>
      </c>
      <c r="AP36" s="31" t="e">
        <f t="shared" ca="1" si="59"/>
        <v>#N/A</v>
      </c>
      <c r="AQ36" s="31" t="e">
        <f ca="1">INDEX(Ref_Master_Unit_Table,MATCH($AH36,REF_To_Unit,0),MATCH('Reference - Lookup and Unit'!$A$11,Ref_From_Units,0))</f>
        <v>#N/A</v>
      </c>
      <c r="AR36" s="31" t="e">
        <f t="shared" ca="1" si="60"/>
        <v>#N/A</v>
      </c>
      <c r="AS36" s="31" t="e">
        <f ca="1">INDEX(Ref_Master_Unit_Table,MATCH($AK36,REF_To_Unit,0),MATCH('Reference - Lookup and Unit'!$A$11,Ref_From_Units,0))</f>
        <v>#N/A</v>
      </c>
      <c r="AT36" s="31" t="e">
        <f t="shared" ca="1" si="61"/>
        <v>#N/A</v>
      </c>
      <c r="AU36" s="31" t="e" cm="1">
        <f t="array" aca="1" ref="AU36"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36" s="31">
        <f t="shared" ca="1" si="48"/>
        <v>27.9</v>
      </c>
      <c r="AW36" s="31">
        <f t="shared" ca="1" si="49"/>
        <v>273</v>
      </c>
      <c r="AX36" s="31" t="e" cm="1">
        <f t="array" aca="1" ref="AX36"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36" s="25" t="e" cm="1">
        <f t="array" ref="AY36">_xlfn.IFS(
AND($E36&lt;&gt;"",$G36="Custom Fuel"),("Settings_Custom_Fuels"),
AND($E36&lt;&gt;"",$G36="Custom vehicle"),("Settings_Custom_Vehicle"),
AND($E36&lt;&gt;"",$G36="Fuel Use"),("Ref_DD_vehicle_FuelUse"&amp;"_"&amp;C36&amp;"_"&amp;E36),
AND($E36&lt;&gt;"",$G36="Fuel Use and Vehicle Distance"),("Ref_DD_Fuel_VehicleDistance"&amp;"_"&amp;C36&amp;"_"&amp;E36),
AND($E36&lt;&gt;"",$G36="Vehicle Distance (e.g. Road Transport)"),("Ref_DD_vehicle_VehicleDistance"&amp;"_"&amp;C36&amp;"_"&amp;E36),
AND($E36&lt;&gt;"",$G36="Weight Distance (e.g. Freight Transport)"),("Ref_DD_vehicle_WeightDistance"&amp;"_"&amp;C36&amp;"_"&amp;E36),
AND($E36&lt;&gt;"",$G36="Vehicle Distance (e.g. Public or Freight Transport)"),("Ref_DD_vehicle_DistanceS3"&amp;"_"&amp;C36),
AND($E36&lt;&gt;"",$G36="Passenger Distance (e.g. Public Transport)"),("Ref_DD_vehicle_Passenger"&amp;"_"&amp;C36&amp;"_"&amp;E36),
AND($E36="",$G36="Fuel Use"),("Ref_DD_vehicle_FuelUse"&amp;"_"&amp;C36),
AND($E36="",OR($G36="Vehicle Distance (e.g. Road Transport)",$G36="Fuel Use and Vehicle Distance")),("Ref_DD_vehicle_VehicleDistance"&amp;"_"&amp;C36),
AND($E36="",$G36="Weight Distance (e.g. Freight Transport)"),("Ref_DD_vehicle_WeightDistance"&amp;"_"&amp;C36),
AND($E36="",$G36="Vehicle Distance (e.g. Public or Freight Transport)"),("Ref_DD_vehicle_DistanceS3"&amp;"_"&amp;C36),
AND($E36="",$G36="Passenger Distance (e.g. Public Transport)"),("Ref_DD_vehicle_Passenger"&amp;"_"&amp;C36))</f>
        <v>#N/A</v>
      </c>
      <c r="AZ36" s="25" t="b">
        <f t="shared" ca="1" si="4"/>
        <v>0</v>
      </c>
      <c r="BA36" s="25" t="str">
        <f t="shared" si="5"/>
        <v/>
      </c>
      <c r="BB36" s="25" t="str">
        <f t="shared" si="6"/>
        <v/>
      </c>
      <c r="BC36" s="25" t="str">
        <f t="shared" si="50"/>
        <v/>
      </c>
      <c r="BD36" s="25" t="str">
        <f t="shared" si="51"/>
        <v/>
      </c>
      <c r="BE36" s="25" t="str">
        <f t="shared" si="52"/>
        <v/>
      </c>
      <c r="BF36" s="25" t="str">
        <f t="shared" si="53"/>
        <v/>
      </c>
      <c r="BG36" s="25" t="str">
        <f t="shared" si="7"/>
        <v/>
      </c>
      <c r="BH36" s="25" t="str">
        <f t="shared" si="8"/>
        <v/>
      </c>
      <c r="BI36" s="25" t="str">
        <f t="shared" si="54"/>
        <v/>
      </c>
      <c r="BJ36" s="25" t="str">
        <f t="shared" si="55"/>
        <v/>
      </c>
      <c r="BK36" s="25" t="str">
        <f t="shared" si="56"/>
        <v/>
      </c>
      <c r="BL36" s="25" t="str">
        <f t="shared" si="57"/>
        <v/>
      </c>
      <c r="BM36" s="25" t="str">
        <f t="shared" si="9"/>
        <v/>
      </c>
      <c r="BN36" s="25" t="str">
        <f t="shared" ca="1" si="10"/>
        <v/>
      </c>
      <c r="BO36" s="25" t="str">
        <f t="shared" si="11"/>
        <v/>
      </c>
      <c r="BP36" s="25" t="str">
        <f t="shared" si="12"/>
        <v/>
      </c>
      <c r="BQ36" s="25" t="str">
        <f t="shared" si="13"/>
        <v/>
      </c>
      <c r="BR36" s="25" t="str">
        <f t="shared" si="14"/>
        <v/>
      </c>
      <c r="BS36" s="25" t="str">
        <f t="shared" si="15"/>
        <v/>
      </c>
      <c r="BT36" s="25" t="str">
        <f t="shared" si="16"/>
        <v/>
      </c>
      <c r="BU36" s="25" t="str">
        <f t="shared" si="17"/>
        <v/>
      </c>
      <c r="BV36" s="25" t="str">
        <f t="shared" si="18"/>
        <v/>
      </c>
      <c r="BW36" s="25" t="str">
        <f t="shared" si="19"/>
        <v/>
      </c>
      <c r="BX36" s="25" t="str">
        <f t="shared" si="20"/>
        <v/>
      </c>
      <c r="BY36" s="25" t="str">
        <f t="shared" si="21"/>
        <v/>
      </c>
      <c r="BZ36" s="25" t="str">
        <f t="shared" si="22"/>
        <v/>
      </c>
      <c r="CA36" s="25" t="str">
        <f t="shared" si="23"/>
        <v/>
      </c>
      <c r="CB36" s="25" t="str">
        <f t="shared" si="24"/>
        <v/>
      </c>
      <c r="CC36" s="25" t="str">
        <f t="shared" si="25"/>
        <v/>
      </c>
      <c r="CD36" s="25" t="str">
        <f t="shared" si="26"/>
        <v/>
      </c>
      <c r="CE36" s="25" t="str">
        <f t="shared" si="27"/>
        <v/>
      </c>
      <c r="CF36" s="25" t="str">
        <f t="shared" si="28"/>
        <v/>
      </c>
      <c r="CG36" s="25" t="str">
        <f t="shared" si="29"/>
        <v/>
      </c>
      <c r="CH36" s="25" t="str">
        <f t="shared" si="30"/>
        <v/>
      </c>
      <c r="CI36" s="25" t="str">
        <f t="shared" si="31"/>
        <v/>
      </c>
      <c r="CJ36" s="25" t="str">
        <f t="shared" si="32"/>
        <v/>
      </c>
      <c r="CK36" s="25" t="str">
        <f t="shared" si="33"/>
        <v/>
      </c>
      <c r="CL36" s="25" t="str">
        <f t="shared" si="34"/>
        <v/>
      </c>
      <c r="CM36" s="25" t="str">
        <f t="shared" si="35"/>
        <v/>
      </c>
      <c r="CN36" s="25" t="str">
        <f t="shared" si="36"/>
        <v/>
      </c>
      <c r="CO36" s="25" t="str">
        <f t="shared" si="37"/>
        <v/>
      </c>
      <c r="CP36" s="25" t="str">
        <f t="shared" si="38"/>
        <v/>
      </c>
      <c r="CQ36" s="25" t="str">
        <f t="shared" si="39"/>
        <v/>
      </c>
      <c r="CR36" s="25" t="str">
        <f t="shared" si="40"/>
        <v/>
      </c>
      <c r="CS36" s="25" t="str">
        <f t="shared" si="41"/>
        <v/>
      </c>
      <c r="CT36" s="25" t="str">
        <f t="shared" si="42"/>
        <v/>
      </c>
      <c r="CU36" s="25" t="str">
        <f t="shared" si="43"/>
        <v/>
      </c>
      <c r="CV36" s="25" t="str">
        <f t="shared" si="44"/>
        <v/>
      </c>
      <c r="CW36" s="25" t="str">
        <f t="shared" si="45"/>
        <v/>
      </c>
      <c r="CX36" s="25" t="str" cm="1">
        <f t="array" ref="CX36">_xlfn.IFNA(_xlfn.IFS(
$G36="Weight Distance (e.g. Freight Transport)","Ref_DD_WeightDistanceUnits",
$G36="Passenger Distance (e.g. Public Transport)","Ref_DD_PasengerDistanceUnits",
$G36="Vehicle Distance (e.g. Road Transport)", "Ref_DD_DistanceUnit",
$G36="Vehicle Distance (e.g. Public or Freight Transport)","Ref_DD_DistanceUnit",
$G36="Fuel Use and Vehicle Distance", "Ref_DD_DistanceUnit",
$G36="Custom Vehicle",VLOOKUP($H36,'2. Settings'!$B$39:$I$54,8,FALSE)),"")</f>
        <v/>
      </c>
      <c r="CY36" s="27" t="str">
        <f ca="1">IF(AND(ISERROR(#REF!*$AU36)=TRUE,ISERROR((S36/1000)*$AV36)=TRUE,ISERROR((T36/1000)*$AW36)=FALSE),((T36/1000)*$AW36),"")</f>
        <v/>
      </c>
      <c r="CZ36" s="27" cm="1">
        <f t="array" ref="CZ36">IFERROR(_xlfn.IFS(
AND($G36="Custom vehicle",OR($J36="Passenger Mile",$J36="Passenger Kilometer")),"Passenger Distance (e.g. Public Transport)",
AND($G36="Custom vehicle",OR($J36="Tonne Mile",$J36="Tonne Kilometer",$J36="Short Ton Kilometer",$J36="Short Ton Mile")),"Weight Distance (e.g. Freight Transport)",
AND($G36="Custom vehicle",OR($J36="Mile",$J36="Kilometer")),"Vehicle Distance (e.g. Road Transport)",
$G36&lt;&gt;"Custom vehicle",$G36),"")</f>
        <v>0</v>
      </c>
      <c r="DA36" s="27" t="str" cm="1">
        <f t="array" ref="DA36">IFERROR(_xlfn.IFS(OR(J36="Tonne Kilometer",J36="Tonne Mile",J36="Short Ton Mile",J36="Short Ton Kilometer"),I36*K36,OR(J36="Passenger Kilometer",J36="Passenger Mile"),I36*L36,OR(J36="Kilometer",J36="Mile"),$I36),"")</f>
        <v/>
      </c>
    </row>
    <row r="37" spans="2:105" x14ac:dyDescent="0.25">
      <c r="B37" s="244"/>
      <c r="C37" s="71" t="str" cm="1">
        <f t="array" ref="C37">IFERROR(_xlfn.IFS($D37="Other", D37&amp;"_" &amp;Ref_Other_to,OR($D37="UK", $D37="US"),$D37),"")</f>
        <v/>
      </c>
      <c r="D37" s="71"/>
      <c r="E37" s="71"/>
      <c r="F37" s="71"/>
      <c r="G37" s="72"/>
      <c r="H37" s="72"/>
      <c r="I37" s="73"/>
      <c r="J37" s="73"/>
      <c r="K37" s="73"/>
      <c r="L37" s="73"/>
      <c r="M37" s="74"/>
      <c r="N37" s="75"/>
      <c r="O37" s="71"/>
      <c r="P37" s="165" t="str">
        <f t="shared" si="58"/>
        <v/>
      </c>
      <c r="Q37" s="166" t="str">
        <f t="shared" si="46"/>
        <v/>
      </c>
      <c r="R37" s="76" t="str" cm="1">
        <f t="array" aca="1" ref="R37" ca="1">IFERROR(_xlfn.IFS(
AND(AA37&gt;0, OR($G37="Fuel Use",$G37="Custom Fuel")),$N37*$AA37*$AM37*$AN37,
AND(AA37&gt;0,$CZ37="Vehicle Distance (e.g. Road Transport)"),$I37*$AA37*$AM37*$AN37,
AND(AA37&gt;0,$CZ37="Vehicle Distance (e.g. Public or Freight Transport)"),$I37*$AA37*$AM37*$AN37,
AND(AA37&gt;0,$CZ37="Fuel Use and Vehicle Distance"),$N37*$AA37*$AM37*$AN37,
AND(AA37&gt;0,$CZ37="Passenger Distance (e.g. Public Transport)"),$DA37*$AA37*$AM37*$AN37,
AND(AA37&gt;0,$CZ37="Weight Distance (e.g. Freight Transport)"),$DA37*$AA37*$AM37*$AN37),"")</f>
        <v/>
      </c>
      <c r="S37" s="77" t="str" cm="1">
        <f t="array" aca="1" ref="S37" ca="1">IFERROR(_xlfn.IFS(
AND(AG37&gt;-1, $G37="Fuel Use and Vehicle Distance"),$I37*$AG37*$AQ37*$AR37,
AND(AG37&gt;-1, $G37="Vehicle Distance (e.g. Road Transport)"),$I37*$AG37*$AQ37*$AR37,
AND(AG37&gt;-1, $CZ37="Vehicle Distance (e.g. Public or Freight Transport)"),$I37*$AG37*$AQ37*$AR37,
AND(AG37&gt;-1, OR($G37="Fuel Use",$G37="Custom Fuel")), $N37*$AG37*$AQ37*$AR37*1000,
AND(AG37&gt;-1, $G37="Custom Vehicle"),$DA37*$AG37*$AQ37*$AR37*1000,
AND(AG37&gt;-1, AND($G37&lt;&gt;"Custom Vehicle",$CZ37="Weight Distance (e.g. Freight Transport)")),$DA37*$AG37*$AQ37*$AR37*1000,
AND(AG37&gt;-1, AND($G37&lt;&gt;"Custom Vehicle",$CZ37="Passenger Distance (e.g. Public Transport)")), $DA37*$AG37*$AQ37*$AR37*1000),"")</f>
        <v/>
      </c>
      <c r="T37" s="77" t="str" cm="1">
        <f t="array" aca="1" ref="T37" ca="1">IFERROR(_xlfn.IFS(
AND(AJ37&gt;0,$G37="Fuel Use and Vehicle Distance"),$I37*$AJ37*$AS37*$AT37,
AND(AJ37&gt;0,$G37="Vehicle Distance (e.g. Road Transport)"),$I37*$AJ37*$AS37*$AT37,
AND(AJ37&gt;0,$G37="Vehicle Distance (e.g. Public or Freight Transport)"),$I37*$AJ37*$AS37*$AT37,
AND(AJ37&gt;0,OR($G37="Fuel Use",$G37="Custom Fuel")), $N37*$AJ37*$AS37*$AT37*1000,
AND(AJ37&gt;0,$G37="Custom Vehicle"),$DA37*$AJ37*$AS37*$AT37*1000,
AND(AJ37&gt;0,AND($G37&lt;&gt;"Custom Vehicle",$CZ37="Weight Distance (e.g. Freight Transport)")),$DA37*$AJ37*$AS37*$AT37*1000,
AND(AJ37&gt;0,AND($G37&lt;&gt;"Custom Vehicle",$CZ37="Passenger Distance (e.g. Public Transport)")), $DA37*$AJ37*$AS37*$AT37*1000),"")</f>
        <v/>
      </c>
      <c r="U37" s="78" t="str">
        <f t="shared" ca="1" si="47"/>
        <v/>
      </c>
      <c r="V37" s="161" t="str" cm="1">
        <f t="array" aca="1" ref="V37" ca="1">IFERROR(_xlfn.IFS(
AND(AD37&gt;0,OR($CZ37="Fuel Use",$CZ37="Custom Fuel",$CZ37="Fuel Use and Vehicle Distance")),($N37*$AD37*$AO37*$AP37),
AND(AD37&gt;0,$G37="Custom Vehicle"),$DA37*$AD37*$AO37*$AP37,
AND(AD37&gt;0,$CZ37="Vehicle Distance (e.g. Public or Freight Transport)"),$I37*$AD37*$AM37*$AN37,
AND(AD37&gt;0,$CZ37="Weight Distance (e.g. Freight Transport)"),($I37*$K37*$AD37*$AO37*$AP37),
AND(AD37&gt;0,$CZ37="Passenger Distance (e.g. Public Transport)"),$I37*$L37*$AD37*$AO37*$AP37,
AND(AD37&gt;0,$CZ37="Vehicle Distance (e.g. Road Transport)"),($I37*$AD37*$AO37*$AP37)),"")</f>
        <v/>
      </c>
      <c r="W37" s="164" t="str" cm="1">
        <f t="array" aca="1" ref="W37" ca="1">IFERROR(_xlfn.IFS(AND(ISNUMBER(R37),AA37=0),AA37&amp;" "&amp;"("&amp;AB37&amp;" CO2/"&amp;AC37&amp;")",AND(ISNUMBER(R37),AA37&gt;0),ROUND(AA37,INT(3-LOG(AA37)))&amp;" "&amp;"("&amp;AB37&amp;" CO2/"&amp;AC37&amp;")"),"")</f>
        <v/>
      </c>
      <c r="X37" s="164" t="str" cm="1">
        <f t="array" aca="1" ref="X37" ca="1">IFERROR(_xlfn.IFS(AND(ISNUMBER(S37), AG37=0),AG37&amp;" "&amp;"("&amp;AH37&amp;" CH4/"&amp;AI37&amp;")",AND(ISNUMBER(S37), AG37&gt;0),ROUND(AG37,INT(3-LOG(AG37)))&amp;" "&amp;"("&amp;AH37&amp;" CH4/"&amp;AI37&amp;")"),"")</f>
        <v/>
      </c>
      <c r="Y37" s="164" t="str" cm="1">
        <f t="array" aca="1" ref="Y37" ca="1">IFERROR(_xlfn.IFS(AND(ISNUMBER(T37), AJ37=0),AJ37&amp;" "&amp;"("&amp;AK37&amp;" CH4/"&amp;AL37&amp;")",AND(ISNUMBER(T37), AJ37&gt;0),ROUND(AJ37,INT(3-LOG(AJ37)))&amp;" "&amp;"("&amp;AK37&amp;" N2O/"&amp;AL37&amp;")"),"")</f>
        <v/>
      </c>
      <c r="Z37" s="245" t="str" cm="1">
        <f t="array" aca="1" ref="Z37" ca="1">IFERROR(_xlfn.IFS(AND(ISNUMBER(V37),AD37=0),AD37&amp;" "&amp;"("&amp;AE37&amp;" CO2/"&amp;AF37&amp;")",AND(ISNUMBER(V37),AD37&gt;0),ROUND(AD37,INT(3-LOG(AD37)))&amp;" "&amp;"("&amp;AE37&amp;" CO2/"&amp;AF37&amp;")"),"")</f>
        <v/>
      </c>
      <c r="AA37" s="240" t="str" cm="1">
        <f t="array" aca="1" ref="AA37" ca="1">IFERROR(_xlfn.IFS(
OR($G37="Fuel Use",$G37="Fuel Use and Vehicle Distance"),VLOOKUP($M37,INDIRECT("Ref_EF_ByFuel"&amp;"_"&amp;$C37),3,0),
$G37="Vehicle Distance (e.g. Road Transport)",VLOOKUP($H37,INDIRECT("Ref_EF_Vehicle_Distance"&amp;"_"&amp;$C37),3,0),
$G37="Vehicle Distance (e.g. Public or Freight Transport)",VLOOKUP($H37,INDIRECT("Ref_EF_Vehicle_Distance_S3"&amp;"_"&amp;$C37),3,0),
$G37="Custom Vehicle",VLOOKUP($H37,Tbl_vehical_Settings,2,0),
$G37="Custom Fuel",VLOOKUP($M37,Tbl_Fuel_Settings,2,0),
$G37="Weight Distance (e.g. Freight Transport)",VLOOKUP($H37,INDIRECT("Ref_EF_Weight_Distance"&amp;"_"&amp;$C37),3,0),
$G37="Passenger Distance (e.g. Public Transport)",VLOOKUP($H37,INDIRECT("Ref_EF_Public_Transport"&amp;"_"&amp;$C37),3,0)),"")</f>
        <v/>
      </c>
      <c r="AB37" s="31" t="str" cm="1">
        <f t="array" aca="1" ref="AB37" ca="1">IFERROR(_xlfn.IFS(
OR($G37="Fuel Use",$G37="Fuel Use and Vehicle Distance"),VLOOKUP($M37,INDIRECT("Ref_EF_ByFuel"&amp;"_"&amp;$C37),5,0),
$G37="Vehicle Distance (e.g. Road Transport)",VLOOKUP($H37,INDIRECT("Ref_EF_Vehicle_Distance"&amp;"_"&amp;$C37),5,0),
$G37="Vehicle Distance (e.g. Public or Freight Transport)",VLOOKUP($H37,INDIRECT("Ref_EF_Vehicle_Distance_S3"&amp;"_"&amp;$C37),5,0),
$G37="Custom Vehicle",VLOOKUP($H37,Tbl_vehical_Settings,6,0),
$G37="Custom Fuel",VLOOKUP($M37,Tbl_Fuel_Settings,6,0),
$G37="Weight Distance (e.g. Freight Transport)",VLOOKUP($H37,INDIRECT("Ref_EF_Weight_Distance"&amp;"_"&amp;$C37),5,0),
$G37="Passenger Distance (e.g. Public Transport)",VLOOKUP($H37,INDIRECT("Ref_EF_Public_Transport"&amp;"_"&amp;$C37),5,0)),"")</f>
        <v/>
      </c>
      <c r="AC37" s="31" t="str" cm="1">
        <f t="array" aca="1" ref="AC37" ca="1">IFERROR(_xlfn.IFS(
OR($G37="Fuel Use",$G37="Fuel Use and Vehicle Distance"),VLOOKUP($M37,INDIRECT("Ref_EF_ByFuel"&amp;"_"&amp;$C37),6,0),
$G37="Vehicle Distance (e.g. Road Transport)",VLOOKUP($H37,INDIRECT("Ref_EF_Vehicle_Distance"&amp;"_"&amp;$C37),6,0),
$G37="Vehicle Distance (e.g. Public or Freight Transport)",VLOOKUP($H37,INDIRECT("Ref_EF_Vehicle_Distance_S3"&amp;"_"&amp;$C37),6,0),
$G37="Custom Vehicle",VLOOKUP($H37,Tbl_vehical_Settings,7,0),
$G37="Custom Fuel",VLOOKUP($M37,Tbl_Fuel_Settings,7,0),
$G37="Weight Distance (e.g. Freight Transport)",VLOOKUP($H37,INDIRECT("Ref_EF_Weight_Distance"&amp;"_"&amp;$C37),6,0),
$G37="Passenger Distance (e.g. Public Transport)",VLOOKUP($H37,INDIRECT("Ref_EF_Public_Transport"&amp;"_"&amp;$C37),6,0)),"")</f>
        <v/>
      </c>
      <c r="AD37" s="31" t="str" cm="1">
        <f t="array" aca="1" ref="AD37" ca="1">IFERROR(_xlfn.IFS(
OR($G37="Fuel Use",$G37="Fuel Use and Vehicle Distance"),VLOOKUP($M37,INDIRECT("Ref_EF_ByFuel"&amp;"_"&amp;$C37),4,0),
$G37="Vehicle Distance (e.g. Road Transport)",VLOOKUP($H37,INDIRECT("Ref_EF_Vehicle_Distance"&amp;"_"&amp;$C37),4,0),
$G37="Vehicle Distance (e.g. Public or Freight Transport)",VLOOKUP($H37,INDIRECT("Ref_EF_Vehicle_Distance_S3"&amp;"_"&amp;$C37),4,0),
$G37="Custom Vehicle",VLOOKUP($H37,Tbl_vehical_Settings,5,0),
$G37="Custom Fuel",VLOOKUP($M37,Tbl_Fuel_Settings,5,0),
$G37="Weight Distance (e.g. Freight Transport)",VLOOKUP($H37,INDIRECT("Ref_EF_Weight_Distance"&amp;"_"&amp;$C37),4,0),
$G37="Passenger Distance (e.g. Public Transport)",VLOOKUP($H37,INDIRECT("Ref_EF_Public_Transport"&amp;"_"&amp;$C37),4,0)),"")</f>
        <v/>
      </c>
      <c r="AE37" s="31" t="str" cm="1">
        <f t="array" aca="1" ref="AE37" ca="1">IFERROR(_xlfn.IFS(
OR($G37="Fuel Use",$G37="Fuel Use and Vehicle Distance"),VLOOKUP($M37,INDIRECT("Ref_EF_ByFuel"&amp;"_"&amp;$C37),5,0),
$G37="Vehicle Distance (e.g. Road Transport)",VLOOKUP($H37,INDIRECT("Ref_EF_Vehicle_Distance"&amp;"_"&amp;$C37),5,0),
$G37="Vehicle Distance (e.g. Public or Freight Transport)",VLOOKUP($H37,INDIRECT("Ref_EF_Vehicle_Distance_S3"&amp;"_"&amp;$C37),5,0),
$G37="Custom Vehicle",VLOOKUP($H37,Tbl_vehical_Settings,6,0),
$G37="Custom Fuel",VLOOKUP($M37,Tbl_Fuel_Settings,6,0),
$G37="Weight Distance (e.g. Freight Transport)",VLOOKUP($H37,INDIRECT("Ref_EF_Weight_Distance"&amp;"_"&amp;$C37),5,0),
$G37="Passenger Distance (e.g. Public Transport)",VLOOKUP($H37,INDIRECT("Ref_EF_Public_Transport"&amp;"_"&amp;$C37),5,0)),"")</f>
        <v/>
      </c>
      <c r="AF37" s="31" t="str" cm="1">
        <f t="array" aca="1" ref="AF37" ca="1">IFERROR(_xlfn.IFS(
OR($G37="Fuel Use",$G37="Fuel Use and Vehicle Distance"),VLOOKUP($M37,INDIRECT("Ref_EF_ByFuel"&amp;"_"&amp;$C37),6,0),
$G37="Vehicle Distance (e.g. Road Transport)",VLOOKUP($H37,INDIRECT("Ref_EF_Vehicle_Distance"&amp;"_"&amp;$C37),6,0),
$G37="Vehicle Distance (e.g. Public or Freight Transport)",VLOOKUP($H37,INDIRECT("Ref_EF_Vehicle_Distance_S3"&amp;"_"&amp;$C37),6,0),
$G37="Custom Vehicle",VLOOKUP($H37,Tbl_vehical_Settings,7,0),
$G37="Custom Fuel",VLOOKUP($M37,Tbl_Fuel_Settings,7,0),
$G37="Weight Distance (e.g. Freight Transport)",VLOOKUP($H37,INDIRECT("Ref_EF_Weight_Distance"&amp;"_"&amp;$C37),6,0),
$G37="Passenger Distance (e.g. Public Transport)",VLOOKUP($H37,INDIRECT("Ref_EF_Public_Transport"&amp;"_"&amp;$C37),6,0)),"")</f>
        <v/>
      </c>
      <c r="AG37" s="31" t="str" cm="1">
        <f t="array" aca="1" ref="AG37" ca="1">IFERROR(_xlfn.IFS(
AND($G37="Fuel Use",$E37&lt;&gt;"Road"),VLOOKUP($H37,INDIRECT("Ref_EF_ByFuel_CH4"&amp;"_"&amp;$C37),3,0),
$G37="Vehicle Distance (e.g. Road Transport)",VLOOKUP($H37,INDIRECT("Ref_EF_Vehicle_Distance"&amp;"_"&amp;$C37),7,0),
$G37="Vehicle Distance (e.g. Public or Freight Transport)",VLOOKUP($H37,INDIRECT("Ref_EF_Vehicle_Distance_S3"&amp;"_"&amp;$C37),7,0),
$G37="Fuel Use and Vehicle Distance",VLOOKUP($H37,INDIRECT("Ref_EF_Fuel_Vehicle_Distance"&amp;"_"&amp;$C37),3,0),
$G37="Custom Vehicle",VLOOKUP($H37,Tbl_vehical_Settings,3,0),
$G37="Custom Fuel",VLOOKUP($M37,Tbl_Fuel_Settings,3,0),
$G37="Weight Distance (e.g. Freight Transport)",VLOOKUP($H37,INDIRECT("Ref_EF_Weight_Distance_CH4"&amp;"_"&amp;$C37),3,0),
$G37="Passenger Distance (e.g. Public Transport)",VLOOKUP($H37,INDIRECT("Ref_EF_Public_Transport_CH4"&amp;"_"&amp;$C37),7,0)),"")</f>
        <v/>
      </c>
      <c r="AH37" s="31" t="str" cm="1">
        <f t="array" aca="1" ref="AH37" ca="1">IFERROR(_xlfn.IFS(
AND($G37="Fuel Use",$E37&lt;&gt;"Road"),VLOOKUP($H37,INDIRECT("Ref_EF_ByFuel_CH4"&amp;"_"&amp;$C37),4,0),
$G37="Vehicle Distance (e.g. Road Transport)",VLOOKUP($H37,INDIRECT("Ref_EF_Vehicle_Distance"&amp;"_"&amp;$C37),8,0),
$G37="Vehicle Distance (e.g. Public or Freight Transport)",VLOOKUP($H37,INDIRECT("Ref_EF_Vehicle_Distance_S3"&amp;"_"&amp;$C37),8,0),
$G37="Fuel Use and Vehicle Distance",VLOOKUP($H37,INDIRECT("Ref_EF_Fuel_Vehicle_Distance"&amp;"_"&amp;$C37),4,0),
$G37="Custom Vehicle",VLOOKUP($H37,Tbl_vehical_Settings,6,0),
$G37="Custom Fuel",VLOOKUP($M37,Tbl_Fuel_Settings,6,0),
$G37="Weight Distance (e.g. Freight Transport)",VLOOKUP($H37,INDIRECT("Ref_EF_Weight_Distance_CH4"&amp;"_"&amp;$C37),4,0),
$G37="Passenger Distance (e.g. Public Transport)",VLOOKUP($H37,INDIRECT("Ref_EF_Public_Transport_CH4"&amp;"_"&amp;$C37),8,0)),"")</f>
        <v/>
      </c>
      <c r="AI37" s="31" t="str" cm="1">
        <f t="array" aca="1" ref="AI37" ca="1">IFERROR(_xlfn.IFS(
AND($G37="Fuel Use",$E37&lt;&gt;"Road"),VLOOKUP($H37,INDIRECT("Ref_EF_ByFuel_CH4"&amp;"_"&amp;$C37),5,0),
$G37="Vehicle Distance (e.g. Road Transport)",VLOOKUP($H37,INDIRECT("Ref_EF_Vehicle_Distance"&amp;"_"&amp;$C37),9,0),
$G37="Vehicle Distance (e.g. Public or Freight Transport)",VLOOKUP($H37,INDIRECT("Ref_EF_Vehicle_Distance_S3"&amp;"_"&amp;$C37),9,0),
$G37="Fuel Use and Vehicle Distance",VLOOKUP($H37,INDIRECT("Ref_EF_Fuel_Vehicle_Distance"&amp;"_"&amp;$C37),5,0),
$G37="Custom Vehicle",VLOOKUP($H37,Tbl_vehical_Settings,7,0),
$G37="Custom Fuel",VLOOKUP($M37,Tbl_Fuel_Settings,7,0),
$G37="Weight Distance (e.g. Freight Transport)",VLOOKUP($H37,INDIRECT("Ref_EF_Weight_Distance_CH4"&amp;"_"&amp;$C37),5,0),
$G37="Passenger Distance (e.g. Public Transport)",VLOOKUP($H37,INDIRECT("Ref_EF_Public_Transport_CH4"&amp;"_"&amp;$C37),9,0)),"")</f>
        <v/>
      </c>
      <c r="AJ37" s="31" t="str" cm="1">
        <f t="array" aca="1" ref="AJ37" ca="1">IFERROR(_xlfn.IFS(
AND($G37="Fuel Use",$E37&lt;&gt;"Road"),VLOOKUP($H37,INDIRECT("Ref_EF_ByFuel_CH4"&amp;"_"&amp;$C37),6,0),
$G37="Vehicle Distance (e.g. Road Transport)",VLOOKUP($H37,INDIRECT("Ref_EF_Vehicle_Distance"&amp;"_"&amp;$C37),10,0),
$G37="Vehicle Distance (e.g. Public or Freight Transport)",VLOOKUP($H37,INDIRECT("Ref_EF_Vehicle_Distance_S3"&amp;"_"&amp;$C37),10,0),
$G37="Fuel Use and Vehicle Distance",VLOOKUP($H37,INDIRECT("Ref_EF_Fuel_Vehicle_Distance"&amp;"_"&amp;$C37),6,0),
$G37="Custom Vehicle",VLOOKUP($H37,Tbl_vehical_Settings,4,0),
$G37="Custom Fuel",VLOOKUP($M37,Tbl_Fuel_Settings,4,0),
$G37="Weight Distance (e.g. Freight Transport)",VLOOKUP($H37,INDIRECT("Ref_EF_Weight_Distance_CH4"&amp;"_"&amp;$C37),6,0),
$G37="Passenger Distance (e.g. Public Transport)",VLOOKUP($H37,INDIRECT("Ref_EF_Public_Transport_CH4"&amp;"_"&amp;$C37),10,0)),"")</f>
        <v/>
      </c>
      <c r="AK37" s="31" t="str" cm="1">
        <f t="array" aca="1" ref="AK37" ca="1">IFERROR(_xlfn.IFS(
AND($G37="Fuel Use",$E37&lt;&gt;"Road"),VLOOKUP($H37,INDIRECT("Ref_EF_ByFuel_CH4"&amp;"_"&amp;$C37),7,0),
$G37="Vehicle Distance (e.g. Road Transport)",VLOOKUP($H37,INDIRECT("Ref_EF_Vehicle_Distance"&amp;"_"&amp;$C37),11,0),
$G37="Vehicle Distance (e.g. Public or Freight Transport)",VLOOKUP($H37,INDIRECT("Ref_EF_Vehicle_Distance_S3"&amp;"_"&amp;$C37),11,0),
$G37="Fuel Use and Vehicle Distance",VLOOKUP($H37,INDIRECT("Ref_EF_Fuel_Vehicle_Distance"&amp;"_"&amp;$C37),7,0),
$G37="Custom Vehicle",VLOOKUP($H37,Tbl_vehical_Settings,6,0),
$G37="Custom Fuel",VLOOKUP($M37,Tbl_Fuel_Settings,6,0),
$G37="Weight Distance (e.g. Freight Transport)",VLOOKUP($H37,INDIRECT("Ref_EF_Weight_Distance_CH4"&amp;"_"&amp;$C37),7,0),
$G37="Passenger Distance (e.g. Public Transport)",VLOOKUP($H37,INDIRECT("Ref_EF_Public_Transport_CH4"&amp;"_"&amp;$C37),11,0)),"")</f>
        <v/>
      </c>
      <c r="AL37" s="31" t="str" cm="1">
        <f t="array" aca="1" ref="AL37" ca="1">IFERROR(_xlfn.IFS(
AND($G37="Fuel Use",$E37&lt;&gt;"Road"),VLOOKUP($H37,INDIRECT("Ref_EF_ByFuel_CH4"&amp;"_"&amp;$C37),8,0),
$G37="Vehicle Distance (e.g. Road Transport)",VLOOKUP($H37,INDIRECT("Ref_EF_Vehicle_Distance"&amp;"_"&amp;$C37),12,0),
$G37="Vehicle Distance (e.g. Public or Freight Transport)",VLOOKUP($H37,INDIRECT("Ref_EF_Vehicle_Distance_S3"&amp;"_"&amp;$C37),12,0),
$G37="Fuel Use and Vehicle Distance",VLOOKUP($H37,INDIRECT("Ref_EF_Fuel_Vehicle_Distance"&amp;"_"&amp;$C37),8,0),
$G37="Custom Vehicle",VLOOKUP($H37,Tbl_vehical_Settings,7,0),
$G37="Custom Fuel",VLOOKUP($M37,Tbl_Fuel_Settings,7,0),
$G37="Weight Distance (e.g. Freight Transport)",VLOOKUP($H37,INDIRECT("Ref_EF_Weight_Distance_CH4"&amp;"_"&amp;$C37),8,0),
$G37="Passenger Distance (e.g. Public Transport)",VLOOKUP($H37,INDIRECT("Ref_EF_Public_Transport_CH4"&amp;"_"&amp;$C37),12,0)),"")</f>
        <v/>
      </c>
      <c r="AM37" s="31" t="e">
        <f ca="1">INDEX(Ref_Master_Unit_Table,MATCH($AB37,REF_To_Unit,0),MATCH('Reference - Lookup and Unit'!$A$11,Ref_From_Units,0))</f>
        <v>#N/A</v>
      </c>
      <c r="AN37" s="31" t="e">
        <f t="shared" ca="1" si="0"/>
        <v>#N/A</v>
      </c>
      <c r="AO37" s="31" t="e">
        <f ca="1">INDEX(Ref_Master_Unit_Table,MATCH($AE37,REF_To_Unit,0),MATCH('Reference - Lookup and Unit'!$A$11,Ref_From_Units,0))</f>
        <v>#N/A</v>
      </c>
      <c r="AP37" s="31" t="e">
        <f t="shared" ca="1" si="59"/>
        <v>#N/A</v>
      </c>
      <c r="AQ37" s="31" t="e">
        <f ca="1">INDEX(Ref_Master_Unit_Table,MATCH($AH37,REF_To_Unit,0),MATCH('Reference - Lookup and Unit'!$A$11,Ref_From_Units,0))</f>
        <v>#N/A</v>
      </c>
      <c r="AR37" s="31" t="e">
        <f t="shared" ca="1" si="60"/>
        <v>#N/A</v>
      </c>
      <c r="AS37" s="31" t="e">
        <f ca="1">INDEX(Ref_Master_Unit_Table,MATCH($AK37,REF_To_Unit,0),MATCH('Reference - Lookup and Unit'!$A$11,Ref_From_Units,0))</f>
        <v>#N/A</v>
      </c>
      <c r="AT37" s="31" t="e">
        <f t="shared" ca="1" si="61"/>
        <v>#N/A</v>
      </c>
      <c r="AU37" s="31" t="e" cm="1">
        <f t="array" aca="1" ref="AU37"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37" s="31">
        <f t="shared" ca="1" si="48"/>
        <v>27.9</v>
      </c>
      <c r="AW37" s="31">
        <f t="shared" ca="1" si="49"/>
        <v>273</v>
      </c>
      <c r="AX37" s="31" t="e" cm="1">
        <f t="array" aca="1" ref="AX37"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37" s="25" t="e" cm="1">
        <f t="array" ref="AY37">_xlfn.IFS(
AND($E37&lt;&gt;"",$G37="Custom Fuel"),("Settings_Custom_Fuels"),
AND($E37&lt;&gt;"",$G37="Custom vehicle"),("Settings_Custom_Vehicle"),
AND($E37&lt;&gt;"",$G37="Fuel Use"),("Ref_DD_vehicle_FuelUse"&amp;"_"&amp;C37&amp;"_"&amp;E37),
AND($E37&lt;&gt;"",$G37="Fuel Use and Vehicle Distance"),("Ref_DD_Fuel_VehicleDistance"&amp;"_"&amp;C37&amp;"_"&amp;E37),
AND($E37&lt;&gt;"",$G37="Vehicle Distance (e.g. Road Transport)"),("Ref_DD_vehicle_VehicleDistance"&amp;"_"&amp;C37&amp;"_"&amp;E37),
AND($E37&lt;&gt;"",$G37="Weight Distance (e.g. Freight Transport)"),("Ref_DD_vehicle_WeightDistance"&amp;"_"&amp;C37&amp;"_"&amp;E37),
AND($E37&lt;&gt;"",$G37="Vehicle Distance (e.g. Public or Freight Transport)"),("Ref_DD_vehicle_DistanceS3"&amp;"_"&amp;C37),
AND($E37&lt;&gt;"",$G37="Passenger Distance (e.g. Public Transport)"),("Ref_DD_vehicle_Passenger"&amp;"_"&amp;C37&amp;"_"&amp;E37),
AND($E37="",$G37="Fuel Use"),("Ref_DD_vehicle_FuelUse"&amp;"_"&amp;C37),
AND($E37="",OR($G37="Vehicle Distance (e.g. Road Transport)",$G37="Fuel Use and Vehicle Distance")),("Ref_DD_vehicle_VehicleDistance"&amp;"_"&amp;C37),
AND($E37="",$G37="Weight Distance (e.g. Freight Transport)"),("Ref_DD_vehicle_WeightDistance"&amp;"_"&amp;C37),
AND($E37="",$G37="Vehicle Distance (e.g. Public or Freight Transport)"),("Ref_DD_vehicle_DistanceS3"&amp;"_"&amp;C37),
AND($E37="",$G37="Passenger Distance (e.g. Public Transport)"),("Ref_DD_vehicle_Passenger"&amp;"_"&amp;C37))</f>
        <v>#N/A</v>
      </c>
      <c r="AZ37" s="25" t="b">
        <f t="shared" ca="1" si="4"/>
        <v>0</v>
      </c>
      <c r="BA37" s="25" t="str">
        <f t="shared" si="5"/>
        <v/>
      </c>
      <c r="BB37" s="25" t="str">
        <f t="shared" si="6"/>
        <v/>
      </c>
      <c r="BC37" s="25" t="str">
        <f t="shared" si="50"/>
        <v/>
      </c>
      <c r="BD37" s="25" t="str">
        <f t="shared" si="51"/>
        <v/>
      </c>
      <c r="BE37" s="25" t="str">
        <f t="shared" si="52"/>
        <v/>
      </c>
      <c r="BF37" s="25" t="str">
        <f t="shared" si="53"/>
        <v/>
      </c>
      <c r="BG37" s="25" t="str">
        <f t="shared" si="7"/>
        <v/>
      </c>
      <c r="BH37" s="25" t="str">
        <f t="shared" si="8"/>
        <v/>
      </c>
      <c r="BI37" s="25" t="str">
        <f t="shared" si="54"/>
        <v/>
      </c>
      <c r="BJ37" s="25" t="str">
        <f t="shared" si="55"/>
        <v/>
      </c>
      <c r="BK37" s="25" t="str">
        <f t="shared" si="56"/>
        <v/>
      </c>
      <c r="BL37" s="25" t="str">
        <f t="shared" si="57"/>
        <v/>
      </c>
      <c r="BM37" s="25" t="str">
        <f t="shared" si="9"/>
        <v/>
      </c>
      <c r="BN37" s="25" t="str">
        <f t="shared" ca="1" si="10"/>
        <v/>
      </c>
      <c r="BO37" s="25" t="str">
        <f t="shared" si="11"/>
        <v/>
      </c>
      <c r="BP37" s="25" t="str">
        <f t="shared" si="12"/>
        <v/>
      </c>
      <c r="BQ37" s="25" t="str">
        <f t="shared" si="13"/>
        <v/>
      </c>
      <c r="BR37" s="25" t="str">
        <f t="shared" si="14"/>
        <v/>
      </c>
      <c r="BS37" s="25" t="str">
        <f t="shared" si="15"/>
        <v/>
      </c>
      <c r="BT37" s="25" t="str">
        <f t="shared" si="16"/>
        <v/>
      </c>
      <c r="BU37" s="25" t="str">
        <f t="shared" si="17"/>
        <v/>
      </c>
      <c r="BV37" s="25" t="str">
        <f t="shared" si="18"/>
        <v/>
      </c>
      <c r="BW37" s="25" t="str">
        <f t="shared" si="19"/>
        <v/>
      </c>
      <c r="BX37" s="25" t="str">
        <f t="shared" si="20"/>
        <v/>
      </c>
      <c r="BY37" s="25" t="str">
        <f t="shared" si="21"/>
        <v/>
      </c>
      <c r="BZ37" s="25" t="str">
        <f t="shared" si="22"/>
        <v/>
      </c>
      <c r="CA37" s="25" t="str">
        <f t="shared" si="23"/>
        <v/>
      </c>
      <c r="CB37" s="25" t="str">
        <f t="shared" si="24"/>
        <v/>
      </c>
      <c r="CC37" s="25" t="str">
        <f t="shared" si="25"/>
        <v/>
      </c>
      <c r="CD37" s="25" t="str">
        <f t="shared" si="26"/>
        <v/>
      </c>
      <c r="CE37" s="25" t="str">
        <f t="shared" si="27"/>
        <v/>
      </c>
      <c r="CF37" s="25" t="str">
        <f t="shared" si="28"/>
        <v/>
      </c>
      <c r="CG37" s="25" t="str">
        <f t="shared" si="29"/>
        <v/>
      </c>
      <c r="CH37" s="25" t="str">
        <f t="shared" si="30"/>
        <v/>
      </c>
      <c r="CI37" s="25" t="str">
        <f t="shared" si="31"/>
        <v/>
      </c>
      <c r="CJ37" s="25" t="str">
        <f t="shared" si="32"/>
        <v/>
      </c>
      <c r="CK37" s="25" t="str">
        <f t="shared" si="33"/>
        <v/>
      </c>
      <c r="CL37" s="25" t="str">
        <f t="shared" si="34"/>
        <v/>
      </c>
      <c r="CM37" s="25" t="str">
        <f t="shared" si="35"/>
        <v/>
      </c>
      <c r="CN37" s="25" t="str">
        <f t="shared" si="36"/>
        <v/>
      </c>
      <c r="CO37" s="25" t="str">
        <f t="shared" si="37"/>
        <v/>
      </c>
      <c r="CP37" s="25" t="str">
        <f t="shared" si="38"/>
        <v/>
      </c>
      <c r="CQ37" s="25" t="str">
        <f t="shared" si="39"/>
        <v/>
      </c>
      <c r="CR37" s="25" t="str">
        <f t="shared" si="40"/>
        <v/>
      </c>
      <c r="CS37" s="25" t="str">
        <f t="shared" si="41"/>
        <v/>
      </c>
      <c r="CT37" s="25" t="str">
        <f t="shared" si="42"/>
        <v/>
      </c>
      <c r="CU37" s="25" t="str">
        <f t="shared" si="43"/>
        <v/>
      </c>
      <c r="CV37" s="25" t="str">
        <f t="shared" si="44"/>
        <v/>
      </c>
      <c r="CW37" s="25" t="str">
        <f t="shared" si="45"/>
        <v/>
      </c>
      <c r="CX37" s="25" t="str" cm="1">
        <f t="array" ref="CX37">_xlfn.IFNA(_xlfn.IFS(
$G37="Weight Distance (e.g. Freight Transport)","Ref_DD_WeightDistanceUnits",
$G37="Passenger Distance (e.g. Public Transport)","Ref_DD_PasengerDistanceUnits",
$G37="Vehicle Distance (e.g. Road Transport)", "Ref_DD_DistanceUnit",
$G37="Vehicle Distance (e.g. Public or Freight Transport)","Ref_DD_DistanceUnit",
$G37="Fuel Use and Vehicle Distance", "Ref_DD_DistanceUnit",
$G37="Custom Vehicle",VLOOKUP($H37,'2. Settings'!$B$39:$I$54,8,FALSE)),"")</f>
        <v/>
      </c>
      <c r="CY37" s="27" t="str">
        <f ca="1">IF(AND(ISERROR(#REF!*$AU37)=TRUE,ISERROR((S37/1000)*$AV37)=TRUE,ISERROR((T37/1000)*$AW37)=FALSE),((T37/1000)*$AW37),"")</f>
        <v/>
      </c>
      <c r="CZ37" s="27" cm="1">
        <f t="array" ref="CZ37">IFERROR(_xlfn.IFS(
AND($G37="Custom vehicle",OR($J37="Passenger Mile",$J37="Passenger Kilometer")),"Passenger Distance (e.g. Public Transport)",
AND($G37="Custom vehicle",OR($J37="Tonne Mile",$J37="Tonne Kilometer",$J37="Short Ton Kilometer",$J37="Short Ton Mile")),"Weight Distance (e.g. Freight Transport)",
AND($G37="Custom vehicle",OR($J37="Mile",$J37="Kilometer")),"Vehicle Distance (e.g. Road Transport)",
$G37&lt;&gt;"Custom vehicle",$G37),"")</f>
        <v>0</v>
      </c>
      <c r="DA37" s="27" t="str" cm="1">
        <f t="array" ref="DA37">IFERROR(_xlfn.IFS(OR(J37="Tonne Kilometer",J37="Tonne Mile",J37="Short Ton Mile",J37="Short Ton Kilometer"),I37*K37,OR(J37="Passenger Kilometer",J37="Passenger Mile"),I37*L37,OR(J37="Kilometer",J37="Mile"),$I37),"")</f>
        <v/>
      </c>
    </row>
    <row r="38" spans="2:105" x14ac:dyDescent="0.25">
      <c r="B38" s="244"/>
      <c r="C38" s="71" t="str" cm="1">
        <f t="array" ref="C38">IFERROR(_xlfn.IFS($D38="Other", D38&amp;"_" &amp;Ref_Other_to,OR($D38="UK", $D38="US"),$D38),"")</f>
        <v/>
      </c>
      <c r="D38" s="71"/>
      <c r="E38" s="71"/>
      <c r="F38" s="71"/>
      <c r="G38" s="72"/>
      <c r="H38" s="72"/>
      <c r="I38" s="73"/>
      <c r="J38" s="73"/>
      <c r="K38" s="73"/>
      <c r="L38" s="73"/>
      <c r="M38" s="74"/>
      <c r="N38" s="75"/>
      <c r="O38" s="71"/>
      <c r="P38" s="165" t="str">
        <f t="shared" si="58"/>
        <v/>
      </c>
      <c r="Q38" s="166" t="str">
        <f t="shared" si="46"/>
        <v/>
      </c>
      <c r="R38" s="76" t="str" cm="1">
        <f t="array" aca="1" ref="R38" ca="1">IFERROR(_xlfn.IFS(
AND(AA38&gt;0, OR($G38="Fuel Use",$G38="Custom Fuel")),$N38*$AA38*$AM38*$AN38,
AND(AA38&gt;0,$CZ38="Vehicle Distance (e.g. Road Transport)"),$I38*$AA38*$AM38*$AN38,
AND(AA38&gt;0,$CZ38="Vehicle Distance (e.g. Public or Freight Transport)"),$I38*$AA38*$AM38*$AN38,
AND(AA38&gt;0,$CZ38="Fuel Use and Vehicle Distance"),$N38*$AA38*$AM38*$AN38,
AND(AA38&gt;0,$CZ38="Passenger Distance (e.g. Public Transport)"),$DA38*$AA38*$AM38*$AN38,
AND(AA38&gt;0,$CZ38="Weight Distance (e.g. Freight Transport)"),$DA38*$AA38*$AM38*$AN38),"")</f>
        <v/>
      </c>
      <c r="S38" s="77" t="str" cm="1">
        <f t="array" aca="1" ref="S38" ca="1">IFERROR(_xlfn.IFS(
AND(AG38&gt;-1, $G38="Fuel Use and Vehicle Distance"),$I38*$AG38*$AQ38*$AR38,
AND(AG38&gt;-1, $G38="Vehicle Distance (e.g. Road Transport)"),$I38*$AG38*$AQ38*$AR38,
AND(AG38&gt;-1, $CZ38="Vehicle Distance (e.g. Public or Freight Transport)"),$I38*$AG38*$AQ38*$AR38,
AND(AG38&gt;-1, OR($G38="Fuel Use",$G38="Custom Fuel")), $N38*$AG38*$AQ38*$AR38*1000,
AND(AG38&gt;-1, $G38="Custom Vehicle"),$DA38*$AG38*$AQ38*$AR38*1000,
AND(AG38&gt;-1, AND($G38&lt;&gt;"Custom Vehicle",$CZ38="Weight Distance (e.g. Freight Transport)")),$DA38*$AG38*$AQ38*$AR38*1000,
AND(AG38&gt;-1, AND($G38&lt;&gt;"Custom Vehicle",$CZ38="Passenger Distance (e.g. Public Transport)")), $DA38*$AG38*$AQ38*$AR38*1000),"")</f>
        <v/>
      </c>
      <c r="T38" s="77" t="str" cm="1">
        <f t="array" aca="1" ref="T38" ca="1">IFERROR(_xlfn.IFS(
AND(AJ38&gt;0,$G38="Fuel Use and Vehicle Distance"),$I38*$AJ38*$AS38*$AT38,
AND(AJ38&gt;0,$G38="Vehicle Distance (e.g. Road Transport)"),$I38*$AJ38*$AS38*$AT38,
AND(AJ38&gt;0,$G38="Vehicle Distance (e.g. Public or Freight Transport)"),$I38*$AJ38*$AS38*$AT38,
AND(AJ38&gt;0,OR($G38="Fuel Use",$G38="Custom Fuel")), $N38*$AJ38*$AS38*$AT38*1000,
AND(AJ38&gt;0,$G38="Custom Vehicle"),$DA38*$AJ38*$AS38*$AT38*1000,
AND(AJ38&gt;0,AND($G38&lt;&gt;"Custom Vehicle",$CZ38="Weight Distance (e.g. Freight Transport)")),$DA38*$AJ38*$AS38*$AT38*1000,
AND(AJ38&gt;0,AND($G38&lt;&gt;"Custom Vehicle",$CZ38="Passenger Distance (e.g. Public Transport)")), $DA38*$AJ38*$AS38*$AT38*1000),"")</f>
        <v/>
      </c>
      <c r="U38" s="78" t="str">
        <f t="shared" ca="1" si="47"/>
        <v/>
      </c>
      <c r="V38" s="161" t="str" cm="1">
        <f t="array" aca="1" ref="V38" ca="1">IFERROR(_xlfn.IFS(
AND(AD38&gt;0,OR($CZ38="Fuel Use",$CZ38="Custom Fuel",$CZ38="Fuel Use and Vehicle Distance")),($N38*$AD38*$AO38*$AP38),
AND(AD38&gt;0,$G38="Custom Vehicle"),$DA38*$AD38*$AO38*$AP38,
AND(AD38&gt;0,$CZ38="Vehicle Distance (e.g. Public or Freight Transport)"),$I38*$AD38*$AM38*$AN38,
AND(AD38&gt;0,$CZ38="Weight Distance (e.g. Freight Transport)"),($I38*$K38*$AD38*$AO38*$AP38),
AND(AD38&gt;0,$CZ38="Passenger Distance (e.g. Public Transport)"),$I38*$L38*$AD38*$AO38*$AP38,
AND(AD38&gt;0,$CZ38="Vehicle Distance (e.g. Road Transport)"),($I38*$AD38*$AO38*$AP38)),"")</f>
        <v/>
      </c>
      <c r="W38" s="164" t="str" cm="1">
        <f t="array" aca="1" ref="W38" ca="1">IFERROR(_xlfn.IFS(AND(ISNUMBER(R38),AA38=0),AA38&amp;" "&amp;"("&amp;AB38&amp;" CO2/"&amp;AC38&amp;")",AND(ISNUMBER(R38),AA38&gt;0),ROUND(AA38,INT(3-LOG(AA38)))&amp;" "&amp;"("&amp;AB38&amp;" CO2/"&amp;AC38&amp;")"),"")</f>
        <v/>
      </c>
      <c r="X38" s="164" t="str" cm="1">
        <f t="array" aca="1" ref="X38" ca="1">IFERROR(_xlfn.IFS(AND(ISNUMBER(S38), AG38=0),AG38&amp;" "&amp;"("&amp;AH38&amp;" CH4/"&amp;AI38&amp;")",AND(ISNUMBER(S38), AG38&gt;0),ROUND(AG38,INT(3-LOG(AG38)))&amp;" "&amp;"("&amp;AH38&amp;" CH4/"&amp;AI38&amp;")"),"")</f>
        <v/>
      </c>
      <c r="Y38" s="164" t="str" cm="1">
        <f t="array" aca="1" ref="Y38" ca="1">IFERROR(_xlfn.IFS(AND(ISNUMBER(T38), AJ38=0),AJ38&amp;" "&amp;"("&amp;AK38&amp;" CH4/"&amp;AL38&amp;")",AND(ISNUMBER(T38), AJ38&gt;0),ROUND(AJ38,INT(3-LOG(AJ38)))&amp;" "&amp;"("&amp;AK38&amp;" N2O/"&amp;AL38&amp;")"),"")</f>
        <v/>
      </c>
      <c r="Z38" s="245" t="str" cm="1">
        <f t="array" aca="1" ref="Z38" ca="1">IFERROR(_xlfn.IFS(AND(ISNUMBER(V38),AD38=0),AD38&amp;" "&amp;"("&amp;AE38&amp;" CO2/"&amp;AF38&amp;")",AND(ISNUMBER(V38),AD38&gt;0),ROUND(AD38,INT(3-LOG(AD38)))&amp;" "&amp;"("&amp;AE38&amp;" CO2/"&amp;AF38&amp;")"),"")</f>
        <v/>
      </c>
      <c r="AA38" s="240" t="str" cm="1">
        <f t="array" aca="1" ref="AA38" ca="1">IFERROR(_xlfn.IFS(
OR($G38="Fuel Use",$G38="Fuel Use and Vehicle Distance"),VLOOKUP($M38,INDIRECT("Ref_EF_ByFuel"&amp;"_"&amp;$C38),3,0),
$G38="Vehicle Distance (e.g. Road Transport)",VLOOKUP($H38,INDIRECT("Ref_EF_Vehicle_Distance"&amp;"_"&amp;$C38),3,0),
$G38="Vehicle Distance (e.g. Public or Freight Transport)",VLOOKUP($H38,INDIRECT("Ref_EF_Vehicle_Distance_S3"&amp;"_"&amp;$C38),3,0),
$G38="Custom Vehicle",VLOOKUP($H38,Tbl_vehical_Settings,2,0),
$G38="Custom Fuel",VLOOKUP($M38,Tbl_Fuel_Settings,2,0),
$G38="Weight Distance (e.g. Freight Transport)",VLOOKUP($H38,INDIRECT("Ref_EF_Weight_Distance"&amp;"_"&amp;$C38),3,0),
$G38="Passenger Distance (e.g. Public Transport)",VLOOKUP($H38,INDIRECT("Ref_EF_Public_Transport"&amp;"_"&amp;$C38),3,0)),"")</f>
        <v/>
      </c>
      <c r="AB38" s="31" t="str" cm="1">
        <f t="array" aca="1" ref="AB38" ca="1">IFERROR(_xlfn.IFS(
OR($G38="Fuel Use",$G38="Fuel Use and Vehicle Distance"),VLOOKUP($M38,INDIRECT("Ref_EF_ByFuel"&amp;"_"&amp;$C38),5,0),
$G38="Vehicle Distance (e.g. Road Transport)",VLOOKUP($H38,INDIRECT("Ref_EF_Vehicle_Distance"&amp;"_"&amp;$C38),5,0),
$G38="Vehicle Distance (e.g. Public or Freight Transport)",VLOOKUP($H38,INDIRECT("Ref_EF_Vehicle_Distance_S3"&amp;"_"&amp;$C38),5,0),
$G38="Custom Vehicle",VLOOKUP($H38,Tbl_vehical_Settings,6,0),
$G38="Custom Fuel",VLOOKUP($M38,Tbl_Fuel_Settings,6,0),
$G38="Weight Distance (e.g. Freight Transport)",VLOOKUP($H38,INDIRECT("Ref_EF_Weight_Distance"&amp;"_"&amp;$C38),5,0),
$G38="Passenger Distance (e.g. Public Transport)",VLOOKUP($H38,INDIRECT("Ref_EF_Public_Transport"&amp;"_"&amp;$C38),5,0)),"")</f>
        <v/>
      </c>
      <c r="AC38" s="31" t="str" cm="1">
        <f t="array" aca="1" ref="AC38" ca="1">IFERROR(_xlfn.IFS(
OR($G38="Fuel Use",$G38="Fuel Use and Vehicle Distance"),VLOOKUP($M38,INDIRECT("Ref_EF_ByFuel"&amp;"_"&amp;$C38),6,0),
$G38="Vehicle Distance (e.g. Road Transport)",VLOOKUP($H38,INDIRECT("Ref_EF_Vehicle_Distance"&amp;"_"&amp;$C38),6,0),
$G38="Vehicle Distance (e.g. Public or Freight Transport)",VLOOKUP($H38,INDIRECT("Ref_EF_Vehicle_Distance_S3"&amp;"_"&amp;$C38),6,0),
$G38="Custom Vehicle",VLOOKUP($H38,Tbl_vehical_Settings,7,0),
$G38="Custom Fuel",VLOOKUP($M38,Tbl_Fuel_Settings,7,0),
$G38="Weight Distance (e.g. Freight Transport)",VLOOKUP($H38,INDIRECT("Ref_EF_Weight_Distance"&amp;"_"&amp;$C38),6,0),
$G38="Passenger Distance (e.g. Public Transport)",VLOOKUP($H38,INDIRECT("Ref_EF_Public_Transport"&amp;"_"&amp;$C38),6,0)),"")</f>
        <v/>
      </c>
      <c r="AD38" s="31" t="str" cm="1">
        <f t="array" aca="1" ref="AD38" ca="1">IFERROR(_xlfn.IFS(
OR($G38="Fuel Use",$G38="Fuel Use and Vehicle Distance"),VLOOKUP($M38,INDIRECT("Ref_EF_ByFuel"&amp;"_"&amp;$C38),4,0),
$G38="Vehicle Distance (e.g. Road Transport)",VLOOKUP($H38,INDIRECT("Ref_EF_Vehicle_Distance"&amp;"_"&amp;$C38),4,0),
$G38="Vehicle Distance (e.g. Public or Freight Transport)",VLOOKUP($H38,INDIRECT("Ref_EF_Vehicle_Distance_S3"&amp;"_"&amp;$C38),4,0),
$G38="Custom Vehicle",VLOOKUP($H38,Tbl_vehical_Settings,5,0),
$G38="Custom Fuel",VLOOKUP($M38,Tbl_Fuel_Settings,5,0),
$G38="Weight Distance (e.g. Freight Transport)",VLOOKUP($H38,INDIRECT("Ref_EF_Weight_Distance"&amp;"_"&amp;$C38),4,0),
$G38="Passenger Distance (e.g. Public Transport)",VLOOKUP($H38,INDIRECT("Ref_EF_Public_Transport"&amp;"_"&amp;$C38),4,0)),"")</f>
        <v/>
      </c>
      <c r="AE38" s="31" t="str" cm="1">
        <f t="array" aca="1" ref="AE38" ca="1">IFERROR(_xlfn.IFS(
OR($G38="Fuel Use",$G38="Fuel Use and Vehicle Distance"),VLOOKUP($M38,INDIRECT("Ref_EF_ByFuel"&amp;"_"&amp;$C38),5,0),
$G38="Vehicle Distance (e.g. Road Transport)",VLOOKUP($H38,INDIRECT("Ref_EF_Vehicle_Distance"&amp;"_"&amp;$C38),5,0),
$G38="Vehicle Distance (e.g. Public or Freight Transport)",VLOOKUP($H38,INDIRECT("Ref_EF_Vehicle_Distance_S3"&amp;"_"&amp;$C38),5,0),
$G38="Custom Vehicle",VLOOKUP($H38,Tbl_vehical_Settings,6,0),
$G38="Custom Fuel",VLOOKUP($M38,Tbl_Fuel_Settings,6,0),
$G38="Weight Distance (e.g. Freight Transport)",VLOOKUP($H38,INDIRECT("Ref_EF_Weight_Distance"&amp;"_"&amp;$C38),5,0),
$G38="Passenger Distance (e.g. Public Transport)",VLOOKUP($H38,INDIRECT("Ref_EF_Public_Transport"&amp;"_"&amp;$C38),5,0)),"")</f>
        <v/>
      </c>
      <c r="AF38" s="31" t="str" cm="1">
        <f t="array" aca="1" ref="AF38" ca="1">IFERROR(_xlfn.IFS(
OR($G38="Fuel Use",$G38="Fuel Use and Vehicle Distance"),VLOOKUP($M38,INDIRECT("Ref_EF_ByFuel"&amp;"_"&amp;$C38),6,0),
$G38="Vehicle Distance (e.g. Road Transport)",VLOOKUP($H38,INDIRECT("Ref_EF_Vehicle_Distance"&amp;"_"&amp;$C38),6,0),
$G38="Vehicle Distance (e.g. Public or Freight Transport)",VLOOKUP($H38,INDIRECT("Ref_EF_Vehicle_Distance_S3"&amp;"_"&amp;$C38),6,0),
$G38="Custom Vehicle",VLOOKUP($H38,Tbl_vehical_Settings,7,0),
$G38="Custom Fuel",VLOOKUP($M38,Tbl_Fuel_Settings,7,0),
$G38="Weight Distance (e.g. Freight Transport)",VLOOKUP($H38,INDIRECT("Ref_EF_Weight_Distance"&amp;"_"&amp;$C38),6,0),
$G38="Passenger Distance (e.g. Public Transport)",VLOOKUP($H38,INDIRECT("Ref_EF_Public_Transport"&amp;"_"&amp;$C38),6,0)),"")</f>
        <v/>
      </c>
      <c r="AG38" s="31" t="str" cm="1">
        <f t="array" aca="1" ref="AG38" ca="1">IFERROR(_xlfn.IFS(
AND($G38="Fuel Use",$E38&lt;&gt;"Road"),VLOOKUP($H38,INDIRECT("Ref_EF_ByFuel_CH4"&amp;"_"&amp;$C38),3,0),
$G38="Vehicle Distance (e.g. Road Transport)",VLOOKUP($H38,INDIRECT("Ref_EF_Vehicle_Distance"&amp;"_"&amp;$C38),7,0),
$G38="Vehicle Distance (e.g. Public or Freight Transport)",VLOOKUP($H38,INDIRECT("Ref_EF_Vehicle_Distance_S3"&amp;"_"&amp;$C38),7,0),
$G38="Fuel Use and Vehicle Distance",VLOOKUP($H38,INDIRECT("Ref_EF_Fuel_Vehicle_Distance"&amp;"_"&amp;$C38),3,0),
$G38="Custom Vehicle",VLOOKUP($H38,Tbl_vehical_Settings,3,0),
$G38="Custom Fuel",VLOOKUP($M38,Tbl_Fuel_Settings,3,0),
$G38="Weight Distance (e.g. Freight Transport)",VLOOKUP($H38,INDIRECT("Ref_EF_Weight_Distance_CH4"&amp;"_"&amp;$C38),3,0),
$G38="Passenger Distance (e.g. Public Transport)",VLOOKUP($H38,INDIRECT("Ref_EF_Public_Transport_CH4"&amp;"_"&amp;$C38),7,0)),"")</f>
        <v/>
      </c>
      <c r="AH38" s="31" t="str" cm="1">
        <f t="array" aca="1" ref="AH38" ca="1">IFERROR(_xlfn.IFS(
AND($G38="Fuel Use",$E38&lt;&gt;"Road"),VLOOKUP($H38,INDIRECT("Ref_EF_ByFuel_CH4"&amp;"_"&amp;$C38),4,0),
$G38="Vehicle Distance (e.g. Road Transport)",VLOOKUP($H38,INDIRECT("Ref_EF_Vehicle_Distance"&amp;"_"&amp;$C38),8,0),
$G38="Vehicle Distance (e.g. Public or Freight Transport)",VLOOKUP($H38,INDIRECT("Ref_EF_Vehicle_Distance_S3"&amp;"_"&amp;$C38),8,0),
$G38="Fuel Use and Vehicle Distance",VLOOKUP($H38,INDIRECT("Ref_EF_Fuel_Vehicle_Distance"&amp;"_"&amp;$C38),4,0),
$G38="Custom Vehicle",VLOOKUP($H38,Tbl_vehical_Settings,6,0),
$G38="Custom Fuel",VLOOKUP($M38,Tbl_Fuel_Settings,6,0),
$G38="Weight Distance (e.g. Freight Transport)",VLOOKUP($H38,INDIRECT("Ref_EF_Weight_Distance_CH4"&amp;"_"&amp;$C38),4,0),
$G38="Passenger Distance (e.g. Public Transport)",VLOOKUP($H38,INDIRECT("Ref_EF_Public_Transport_CH4"&amp;"_"&amp;$C38),8,0)),"")</f>
        <v/>
      </c>
      <c r="AI38" s="31" t="str" cm="1">
        <f t="array" aca="1" ref="AI38" ca="1">IFERROR(_xlfn.IFS(
AND($G38="Fuel Use",$E38&lt;&gt;"Road"),VLOOKUP($H38,INDIRECT("Ref_EF_ByFuel_CH4"&amp;"_"&amp;$C38),5,0),
$G38="Vehicle Distance (e.g. Road Transport)",VLOOKUP($H38,INDIRECT("Ref_EF_Vehicle_Distance"&amp;"_"&amp;$C38),9,0),
$G38="Vehicle Distance (e.g. Public or Freight Transport)",VLOOKUP($H38,INDIRECT("Ref_EF_Vehicle_Distance_S3"&amp;"_"&amp;$C38),9,0),
$G38="Fuel Use and Vehicle Distance",VLOOKUP($H38,INDIRECT("Ref_EF_Fuel_Vehicle_Distance"&amp;"_"&amp;$C38),5,0),
$G38="Custom Vehicle",VLOOKUP($H38,Tbl_vehical_Settings,7,0),
$G38="Custom Fuel",VLOOKUP($M38,Tbl_Fuel_Settings,7,0),
$G38="Weight Distance (e.g. Freight Transport)",VLOOKUP($H38,INDIRECT("Ref_EF_Weight_Distance_CH4"&amp;"_"&amp;$C38),5,0),
$G38="Passenger Distance (e.g. Public Transport)",VLOOKUP($H38,INDIRECT("Ref_EF_Public_Transport_CH4"&amp;"_"&amp;$C38),9,0)),"")</f>
        <v/>
      </c>
      <c r="AJ38" s="31" t="str" cm="1">
        <f t="array" aca="1" ref="AJ38" ca="1">IFERROR(_xlfn.IFS(
AND($G38="Fuel Use",$E38&lt;&gt;"Road"),VLOOKUP($H38,INDIRECT("Ref_EF_ByFuel_CH4"&amp;"_"&amp;$C38),6,0),
$G38="Vehicle Distance (e.g. Road Transport)",VLOOKUP($H38,INDIRECT("Ref_EF_Vehicle_Distance"&amp;"_"&amp;$C38),10,0),
$G38="Vehicle Distance (e.g. Public or Freight Transport)",VLOOKUP($H38,INDIRECT("Ref_EF_Vehicle_Distance_S3"&amp;"_"&amp;$C38),10,0),
$G38="Fuel Use and Vehicle Distance",VLOOKUP($H38,INDIRECT("Ref_EF_Fuel_Vehicle_Distance"&amp;"_"&amp;$C38),6,0),
$G38="Custom Vehicle",VLOOKUP($H38,Tbl_vehical_Settings,4,0),
$G38="Custom Fuel",VLOOKUP($M38,Tbl_Fuel_Settings,4,0),
$G38="Weight Distance (e.g. Freight Transport)",VLOOKUP($H38,INDIRECT("Ref_EF_Weight_Distance_CH4"&amp;"_"&amp;$C38),6,0),
$G38="Passenger Distance (e.g. Public Transport)",VLOOKUP($H38,INDIRECT("Ref_EF_Public_Transport_CH4"&amp;"_"&amp;$C38),10,0)),"")</f>
        <v/>
      </c>
      <c r="AK38" s="31" t="str" cm="1">
        <f t="array" aca="1" ref="AK38" ca="1">IFERROR(_xlfn.IFS(
AND($G38="Fuel Use",$E38&lt;&gt;"Road"),VLOOKUP($H38,INDIRECT("Ref_EF_ByFuel_CH4"&amp;"_"&amp;$C38),7,0),
$G38="Vehicle Distance (e.g. Road Transport)",VLOOKUP($H38,INDIRECT("Ref_EF_Vehicle_Distance"&amp;"_"&amp;$C38),11,0),
$G38="Vehicle Distance (e.g. Public or Freight Transport)",VLOOKUP($H38,INDIRECT("Ref_EF_Vehicle_Distance_S3"&amp;"_"&amp;$C38),11,0),
$G38="Fuel Use and Vehicle Distance",VLOOKUP($H38,INDIRECT("Ref_EF_Fuel_Vehicle_Distance"&amp;"_"&amp;$C38),7,0),
$G38="Custom Vehicle",VLOOKUP($H38,Tbl_vehical_Settings,6,0),
$G38="Custom Fuel",VLOOKUP($M38,Tbl_Fuel_Settings,6,0),
$G38="Weight Distance (e.g. Freight Transport)",VLOOKUP($H38,INDIRECT("Ref_EF_Weight_Distance_CH4"&amp;"_"&amp;$C38),7,0),
$G38="Passenger Distance (e.g. Public Transport)",VLOOKUP($H38,INDIRECT("Ref_EF_Public_Transport_CH4"&amp;"_"&amp;$C38),11,0)),"")</f>
        <v/>
      </c>
      <c r="AL38" s="31" t="str" cm="1">
        <f t="array" aca="1" ref="AL38" ca="1">IFERROR(_xlfn.IFS(
AND($G38="Fuel Use",$E38&lt;&gt;"Road"),VLOOKUP($H38,INDIRECT("Ref_EF_ByFuel_CH4"&amp;"_"&amp;$C38),8,0),
$G38="Vehicle Distance (e.g. Road Transport)",VLOOKUP($H38,INDIRECT("Ref_EF_Vehicle_Distance"&amp;"_"&amp;$C38),12,0),
$G38="Vehicle Distance (e.g. Public or Freight Transport)",VLOOKUP($H38,INDIRECT("Ref_EF_Vehicle_Distance_S3"&amp;"_"&amp;$C38),12,0),
$G38="Fuel Use and Vehicle Distance",VLOOKUP($H38,INDIRECT("Ref_EF_Fuel_Vehicle_Distance"&amp;"_"&amp;$C38),8,0),
$G38="Custom Vehicle",VLOOKUP($H38,Tbl_vehical_Settings,7,0),
$G38="Custom Fuel",VLOOKUP($M38,Tbl_Fuel_Settings,7,0),
$G38="Weight Distance (e.g. Freight Transport)",VLOOKUP($H38,INDIRECT("Ref_EF_Weight_Distance_CH4"&amp;"_"&amp;$C38),8,0),
$G38="Passenger Distance (e.g. Public Transport)",VLOOKUP($H38,INDIRECT("Ref_EF_Public_Transport_CH4"&amp;"_"&amp;$C38),12,0)),"")</f>
        <v/>
      </c>
      <c r="AM38" s="31" t="e">
        <f ca="1">INDEX(Ref_Master_Unit_Table,MATCH($AB38,REF_To_Unit,0),MATCH('Reference - Lookup and Unit'!$A$11,Ref_From_Units,0))</f>
        <v>#N/A</v>
      </c>
      <c r="AN38" s="31" t="e">
        <f t="shared" ca="1" si="0"/>
        <v>#N/A</v>
      </c>
      <c r="AO38" s="31" t="e">
        <f ca="1">INDEX(Ref_Master_Unit_Table,MATCH($AE38,REF_To_Unit,0),MATCH('Reference - Lookup and Unit'!$A$11,Ref_From_Units,0))</f>
        <v>#N/A</v>
      </c>
      <c r="AP38" s="31" t="e">
        <f t="shared" ca="1" si="59"/>
        <v>#N/A</v>
      </c>
      <c r="AQ38" s="31" t="e">
        <f ca="1">INDEX(Ref_Master_Unit_Table,MATCH($AH38,REF_To_Unit,0),MATCH('Reference - Lookup and Unit'!$A$11,Ref_From_Units,0))</f>
        <v>#N/A</v>
      </c>
      <c r="AR38" s="31" t="e">
        <f t="shared" ca="1" si="60"/>
        <v>#N/A</v>
      </c>
      <c r="AS38" s="31" t="e">
        <f ca="1">INDEX(Ref_Master_Unit_Table,MATCH($AK38,REF_To_Unit,0),MATCH('Reference - Lookup and Unit'!$A$11,Ref_From_Units,0))</f>
        <v>#N/A</v>
      </c>
      <c r="AT38" s="31" t="e">
        <f t="shared" ca="1" si="61"/>
        <v>#N/A</v>
      </c>
      <c r="AU38" s="31" t="e" cm="1">
        <f t="array" aca="1" ref="AU38"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38" s="31">
        <f t="shared" ca="1" si="48"/>
        <v>27.9</v>
      </c>
      <c r="AW38" s="31">
        <f t="shared" ca="1" si="49"/>
        <v>273</v>
      </c>
      <c r="AX38" s="31" t="e" cm="1">
        <f t="array" aca="1" ref="AX38"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38" s="25" t="e" cm="1">
        <f t="array" ref="AY38">_xlfn.IFS(
AND($E38&lt;&gt;"",$G38="Custom Fuel"),("Settings_Custom_Fuels"),
AND($E38&lt;&gt;"",$G38="Custom vehicle"),("Settings_Custom_Vehicle"),
AND($E38&lt;&gt;"",$G38="Fuel Use"),("Ref_DD_vehicle_FuelUse"&amp;"_"&amp;C38&amp;"_"&amp;E38),
AND($E38&lt;&gt;"",$G38="Fuel Use and Vehicle Distance"),("Ref_DD_Fuel_VehicleDistance"&amp;"_"&amp;C38&amp;"_"&amp;E38),
AND($E38&lt;&gt;"",$G38="Vehicle Distance (e.g. Road Transport)"),("Ref_DD_vehicle_VehicleDistance"&amp;"_"&amp;C38&amp;"_"&amp;E38),
AND($E38&lt;&gt;"",$G38="Weight Distance (e.g. Freight Transport)"),("Ref_DD_vehicle_WeightDistance"&amp;"_"&amp;C38&amp;"_"&amp;E38),
AND($E38&lt;&gt;"",$G38="Vehicle Distance (e.g. Public or Freight Transport)"),("Ref_DD_vehicle_DistanceS3"&amp;"_"&amp;C38),
AND($E38&lt;&gt;"",$G38="Passenger Distance (e.g. Public Transport)"),("Ref_DD_vehicle_Passenger"&amp;"_"&amp;C38&amp;"_"&amp;E38),
AND($E38="",$G38="Fuel Use"),("Ref_DD_vehicle_FuelUse"&amp;"_"&amp;C38),
AND($E38="",OR($G38="Vehicle Distance (e.g. Road Transport)",$G38="Fuel Use and Vehicle Distance")),("Ref_DD_vehicle_VehicleDistance"&amp;"_"&amp;C38),
AND($E38="",$G38="Weight Distance (e.g. Freight Transport)"),("Ref_DD_vehicle_WeightDistance"&amp;"_"&amp;C38),
AND($E38="",$G38="Vehicle Distance (e.g. Public or Freight Transport)"),("Ref_DD_vehicle_DistanceS3"&amp;"_"&amp;C38),
AND($E38="",$G38="Passenger Distance (e.g. Public Transport)"),("Ref_DD_vehicle_Passenger"&amp;"_"&amp;C38))</f>
        <v>#N/A</v>
      </c>
      <c r="AZ38" s="25" t="b">
        <f t="shared" ca="1" si="4"/>
        <v>0</v>
      </c>
      <c r="BA38" s="25" t="str">
        <f t="shared" si="5"/>
        <v/>
      </c>
      <c r="BB38" s="25" t="str">
        <f t="shared" si="6"/>
        <v/>
      </c>
      <c r="BC38" s="25" t="str">
        <f t="shared" si="50"/>
        <v/>
      </c>
      <c r="BD38" s="25" t="str">
        <f t="shared" si="51"/>
        <v/>
      </c>
      <c r="BE38" s="25" t="str">
        <f t="shared" si="52"/>
        <v/>
      </c>
      <c r="BF38" s="25" t="str">
        <f t="shared" si="53"/>
        <v/>
      </c>
      <c r="BG38" s="25" t="str">
        <f t="shared" si="7"/>
        <v/>
      </c>
      <c r="BH38" s="25" t="str">
        <f t="shared" si="8"/>
        <v/>
      </c>
      <c r="BI38" s="25" t="str">
        <f t="shared" si="54"/>
        <v/>
      </c>
      <c r="BJ38" s="25" t="str">
        <f t="shared" si="55"/>
        <v/>
      </c>
      <c r="BK38" s="25" t="str">
        <f t="shared" si="56"/>
        <v/>
      </c>
      <c r="BL38" s="25" t="str">
        <f t="shared" si="57"/>
        <v/>
      </c>
      <c r="BM38" s="25" t="str">
        <f t="shared" si="9"/>
        <v/>
      </c>
      <c r="BN38" s="25" t="str">
        <f t="shared" ca="1" si="10"/>
        <v/>
      </c>
      <c r="BO38" s="25" t="str">
        <f t="shared" si="11"/>
        <v/>
      </c>
      <c r="BP38" s="25" t="str">
        <f t="shared" si="12"/>
        <v/>
      </c>
      <c r="BQ38" s="25" t="str">
        <f t="shared" si="13"/>
        <v/>
      </c>
      <c r="BR38" s="25" t="str">
        <f t="shared" si="14"/>
        <v/>
      </c>
      <c r="BS38" s="25" t="str">
        <f t="shared" si="15"/>
        <v/>
      </c>
      <c r="BT38" s="25" t="str">
        <f t="shared" si="16"/>
        <v/>
      </c>
      <c r="BU38" s="25" t="str">
        <f t="shared" si="17"/>
        <v/>
      </c>
      <c r="BV38" s="25" t="str">
        <f t="shared" si="18"/>
        <v/>
      </c>
      <c r="BW38" s="25" t="str">
        <f t="shared" si="19"/>
        <v/>
      </c>
      <c r="BX38" s="25" t="str">
        <f t="shared" si="20"/>
        <v/>
      </c>
      <c r="BY38" s="25" t="str">
        <f t="shared" si="21"/>
        <v/>
      </c>
      <c r="BZ38" s="25" t="str">
        <f t="shared" si="22"/>
        <v/>
      </c>
      <c r="CA38" s="25" t="str">
        <f t="shared" si="23"/>
        <v/>
      </c>
      <c r="CB38" s="25" t="str">
        <f t="shared" si="24"/>
        <v/>
      </c>
      <c r="CC38" s="25" t="str">
        <f t="shared" si="25"/>
        <v/>
      </c>
      <c r="CD38" s="25" t="str">
        <f t="shared" si="26"/>
        <v/>
      </c>
      <c r="CE38" s="25" t="str">
        <f t="shared" si="27"/>
        <v/>
      </c>
      <c r="CF38" s="25" t="str">
        <f t="shared" si="28"/>
        <v/>
      </c>
      <c r="CG38" s="25" t="str">
        <f t="shared" si="29"/>
        <v/>
      </c>
      <c r="CH38" s="25" t="str">
        <f t="shared" si="30"/>
        <v/>
      </c>
      <c r="CI38" s="25" t="str">
        <f t="shared" si="31"/>
        <v/>
      </c>
      <c r="CJ38" s="25" t="str">
        <f t="shared" si="32"/>
        <v/>
      </c>
      <c r="CK38" s="25" t="str">
        <f t="shared" si="33"/>
        <v/>
      </c>
      <c r="CL38" s="25" t="str">
        <f t="shared" si="34"/>
        <v/>
      </c>
      <c r="CM38" s="25" t="str">
        <f t="shared" si="35"/>
        <v/>
      </c>
      <c r="CN38" s="25" t="str">
        <f t="shared" si="36"/>
        <v/>
      </c>
      <c r="CO38" s="25" t="str">
        <f t="shared" si="37"/>
        <v/>
      </c>
      <c r="CP38" s="25" t="str">
        <f t="shared" si="38"/>
        <v/>
      </c>
      <c r="CQ38" s="25" t="str">
        <f t="shared" si="39"/>
        <v/>
      </c>
      <c r="CR38" s="25" t="str">
        <f t="shared" si="40"/>
        <v/>
      </c>
      <c r="CS38" s="25" t="str">
        <f t="shared" si="41"/>
        <v/>
      </c>
      <c r="CT38" s="25" t="str">
        <f t="shared" si="42"/>
        <v/>
      </c>
      <c r="CU38" s="25" t="str">
        <f t="shared" si="43"/>
        <v/>
      </c>
      <c r="CV38" s="25" t="str">
        <f t="shared" si="44"/>
        <v/>
      </c>
      <c r="CW38" s="25" t="str">
        <f t="shared" si="45"/>
        <v/>
      </c>
      <c r="CX38" s="25" t="str" cm="1">
        <f t="array" ref="CX38">_xlfn.IFNA(_xlfn.IFS(
$G38="Weight Distance (e.g. Freight Transport)","Ref_DD_WeightDistanceUnits",
$G38="Passenger Distance (e.g. Public Transport)","Ref_DD_PasengerDistanceUnits",
$G38="Vehicle Distance (e.g. Road Transport)", "Ref_DD_DistanceUnit",
$G38="Vehicle Distance (e.g. Public or Freight Transport)","Ref_DD_DistanceUnit",
$G38="Fuel Use and Vehicle Distance", "Ref_DD_DistanceUnit",
$G38="Custom Vehicle",VLOOKUP($H38,'2. Settings'!$B$39:$I$54,8,FALSE)),"")</f>
        <v/>
      </c>
      <c r="CY38" s="27" t="str">
        <f ca="1">IF(AND(ISERROR(#REF!*$AU38)=TRUE,ISERROR((S38/1000)*$AV38)=TRUE,ISERROR((T38/1000)*$AW38)=FALSE),((T38/1000)*$AW38),"")</f>
        <v/>
      </c>
      <c r="CZ38" s="27" cm="1">
        <f t="array" ref="CZ38">IFERROR(_xlfn.IFS(
AND($G38="Custom vehicle",OR($J38="Passenger Mile",$J38="Passenger Kilometer")),"Passenger Distance (e.g. Public Transport)",
AND($G38="Custom vehicle",OR($J38="Tonne Mile",$J38="Tonne Kilometer",$J38="Short Ton Kilometer",$J38="Short Ton Mile")),"Weight Distance (e.g. Freight Transport)",
AND($G38="Custom vehicle",OR($J38="Mile",$J38="Kilometer")),"Vehicle Distance (e.g. Road Transport)",
$G38&lt;&gt;"Custom vehicle",$G38),"")</f>
        <v>0</v>
      </c>
      <c r="DA38" s="27" t="str" cm="1">
        <f t="array" ref="DA38">IFERROR(_xlfn.IFS(OR(J38="Tonne Kilometer",J38="Tonne Mile",J38="Short Ton Mile",J38="Short Ton Kilometer"),I38*K38,OR(J38="Passenger Kilometer",J38="Passenger Mile"),I38*L38,OR(J38="Kilometer",J38="Mile"),$I38),"")</f>
        <v/>
      </c>
    </row>
    <row r="39" spans="2:105" x14ac:dyDescent="0.25">
      <c r="B39" s="244"/>
      <c r="C39" s="71" t="str" cm="1">
        <f t="array" ref="C39">IFERROR(_xlfn.IFS($D39="Other", D39&amp;"_" &amp;Ref_Other_to,OR($D39="UK", $D39="US"),$D39),"")</f>
        <v/>
      </c>
      <c r="D39" s="71"/>
      <c r="E39" s="71"/>
      <c r="F39" s="71"/>
      <c r="G39" s="72"/>
      <c r="H39" s="72"/>
      <c r="I39" s="73"/>
      <c r="J39" s="73"/>
      <c r="K39" s="73"/>
      <c r="L39" s="73"/>
      <c r="M39" s="74"/>
      <c r="N39" s="75"/>
      <c r="O39" s="71"/>
      <c r="P39" s="165" t="str">
        <f t="shared" si="58"/>
        <v/>
      </c>
      <c r="Q39" s="166" t="str">
        <f t="shared" si="46"/>
        <v/>
      </c>
      <c r="R39" s="76" t="str" cm="1">
        <f t="array" aca="1" ref="R39" ca="1">IFERROR(_xlfn.IFS(
AND(AA39&gt;0, OR($G39="Fuel Use",$G39="Custom Fuel")),$N39*$AA39*$AM39*$AN39,
AND(AA39&gt;0,$CZ39="Vehicle Distance (e.g. Road Transport)"),$I39*$AA39*$AM39*$AN39,
AND(AA39&gt;0,$CZ39="Vehicle Distance (e.g. Public or Freight Transport)"),$I39*$AA39*$AM39*$AN39,
AND(AA39&gt;0,$CZ39="Fuel Use and Vehicle Distance"),$N39*$AA39*$AM39*$AN39,
AND(AA39&gt;0,$CZ39="Passenger Distance (e.g. Public Transport)"),$DA39*$AA39*$AM39*$AN39,
AND(AA39&gt;0,$CZ39="Weight Distance (e.g. Freight Transport)"),$DA39*$AA39*$AM39*$AN39),"")</f>
        <v/>
      </c>
      <c r="S39" s="77" t="str" cm="1">
        <f t="array" aca="1" ref="S39" ca="1">IFERROR(_xlfn.IFS(
AND(AG39&gt;-1, $G39="Fuel Use and Vehicle Distance"),$I39*$AG39*$AQ39*$AR39,
AND(AG39&gt;-1, $G39="Vehicle Distance (e.g. Road Transport)"),$I39*$AG39*$AQ39*$AR39,
AND(AG39&gt;-1, $CZ39="Vehicle Distance (e.g. Public or Freight Transport)"),$I39*$AG39*$AQ39*$AR39,
AND(AG39&gt;-1, OR($G39="Fuel Use",$G39="Custom Fuel")), $N39*$AG39*$AQ39*$AR39*1000,
AND(AG39&gt;-1, $G39="Custom Vehicle"),$DA39*$AG39*$AQ39*$AR39*1000,
AND(AG39&gt;-1, AND($G39&lt;&gt;"Custom Vehicle",$CZ39="Weight Distance (e.g. Freight Transport)")),$DA39*$AG39*$AQ39*$AR39*1000,
AND(AG39&gt;-1, AND($G39&lt;&gt;"Custom Vehicle",$CZ39="Passenger Distance (e.g. Public Transport)")), $DA39*$AG39*$AQ39*$AR39*1000),"")</f>
        <v/>
      </c>
      <c r="T39" s="77" t="str" cm="1">
        <f t="array" aca="1" ref="T39" ca="1">IFERROR(_xlfn.IFS(
AND(AJ39&gt;0,$G39="Fuel Use and Vehicle Distance"),$I39*$AJ39*$AS39*$AT39,
AND(AJ39&gt;0,$G39="Vehicle Distance (e.g. Road Transport)"),$I39*$AJ39*$AS39*$AT39,
AND(AJ39&gt;0,$G39="Vehicle Distance (e.g. Public or Freight Transport)"),$I39*$AJ39*$AS39*$AT39,
AND(AJ39&gt;0,OR($G39="Fuel Use",$G39="Custom Fuel")), $N39*$AJ39*$AS39*$AT39*1000,
AND(AJ39&gt;0,$G39="Custom Vehicle"),$DA39*$AJ39*$AS39*$AT39*1000,
AND(AJ39&gt;0,AND($G39&lt;&gt;"Custom Vehicle",$CZ39="Weight Distance (e.g. Freight Transport)")),$DA39*$AJ39*$AS39*$AT39*1000,
AND(AJ39&gt;0,AND($G39&lt;&gt;"Custom Vehicle",$CZ39="Passenger Distance (e.g. Public Transport)")), $DA39*$AJ39*$AS39*$AT39*1000),"")</f>
        <v/>
      </c>
      <c r="U39" s="78" t="str">
        <f t="shared" ca="1" si="47"/>
        <v/>
      </c>
      <c r="V39" s="161" t="str" cm="1">
        <f t="array" aca="1" ref="V39" ca="1">IFERROR(_xlfn.IFS(
AND(AD39&gt;0,OR($CZ39="Fuel Use",$CZ39="Custom Fuel",$CZ39="Fuel Use and Vehicle Distance")),($N39*$AD39*$AO39*$AP39),
AND(AD39&gt;0,$G39="Custom Vehicle"),$DA39*$AD39*$AO39*$AP39,
AND(AD39&gt;0,$CZ39="Vehicle Distance (e.g. Public or Freight Transport)"),$I39*$AD39*$AM39*$AN39,
AND(AD39&gt;0,$CZ39="Weight Distance (e.g. Freight Transport)"),($I39*$K39*$AD39*$AO39*$AP39),
AND(AD39&gt;0,$CZ39="Passenger Distance (e.g. Public Transport)"),$I39*$L39*$AD39*$AO39*$AP39,
AND(AD39&gt;0,$CZ39="Vehicle Distance (e.g. Road Transport)"),($I39*$AD39*$AO39*$AP39)),"")</f>
        <v/>
      </c>
      <c r="W39" s="164" t="str" cm="1">
        <f t="array" aca="1" ref="W39" ca="1">IFERROR(_xlfn.IFS(AND(ISNUMBER(R39),AA39=0),AA39&amp;" "&amp;"("&amp;AB39&amp;" CO2/"&amp;AC39&amp;")",AND(ISNUMBER(R39),AA39&gt;0),ROUND(AA39,INT(3-LOG(AA39)))&amp;" "&amp;"("&amp;AB39&amp;" CO2/"&amp;AC39&amp;")"),"")</f>
        <v/>
      </c>
      <c r="X39" s="164" t="str" cm="1">
        <f t="array" aca="1" ref="X39" ca="1">IFERROR(_xlfn.IFS(AND(ISNUMBER(S39), AG39=0),AG39&amp;" "&amp;"("&amp;AH39&amp;" CH4/"&amp;AI39&amp;")",AND(ISNUMBER(S39), AG39&gt;0),ROUND(AG39,INT(3-LOG(AG39)))&amp;" "&amp;"("&amp;AH39&amp;" CH4/"&amp;AI39&amp;")"),"")</f>
        <v/>
      </c>
      <c r="Y39" s="164" t="str" cm="1">
        <f t="array" aca="1" ref="Y39" ca="1">IFERROR(_xlfn.IFS(AND(ISNUMBER(T39), AJ39=0),AJ39&amp;" "&amp;"("&amp;AK39&amp;" CH4/"&amp;AL39&amp;")",AND(ISNUMBER(T39), AJ39&gt;0),ROUND(AJ39,INT(3-LOG(AJ39)))&amp;" "&amp;"("&amp;AK39&amp;" N2O/"&amp;AL39&amp;")"),"")</f>
        <v/>
      </c>
      <c r="Z39" s="245" t="str" cm="1">
        <f t="array" aca="1" ref="Z39" ca="1">IFERROR(_xlfn.IFS(AND(ISNUMBER(V39),AD39=0),AD39&amp;" "&amp;"("&amp;AE39&amp;" CO2/"&amp;AF39&amp;")",AND(ISNUMBER(V39),AD39&gt;0),ROUND(AD39,INT(3-LOG(AD39)))&amp;" "&amp;"("&amp;AE39&amp;" CO2/"&amp;AF39&amp;")"),"")</f>
        <v/>
      </c>
      <c r="AA39" s="240" t="str" cm="1">
        <f t="array" aca="1" ref="AA39" ca="1">IFERROR(_xlfn.IFS(
OR($G39="Fuel Use",$G39="Fuel Use and Vehicle Distance"),VLOOKUP($M39,INDIRECT("Ref_EF_ByFuel"&amp;"_"&amp;$C39),3,0),
$G39="Vehicle Distance (e.g. Road Transport)",VLOOKUP($H39,INDIRECT("Ref_EF_Vehicle_Distance"&amp;"_"&amp;$C39),3,0),
$G39="Vehicle Distance (e.g. Public or Freight Transport)",VLOOKUP($H39,INDIRECT("Ref_EF_Vehicle_Distance_S3"&amp;"_"&amp;$C39),3,0),
$G39="Custom Vehicle",VLOOKUP($H39,Tbl_vehical_Settings,2,0),
$G39="Custom Fuel",VLOOKUP($M39,Tbl_Fuel_Settings,2,0),
$G39="Weight Distance (e.g. Freight Transport)",VLOOKUP($H39,INDIRECT("Ref_EF_Weight_Distance"&amp;"_"&amp;$C39),3,0),
$G39="Passenger Distance (e.g. Public Transport)",VLOOKUP($H39,INDIRECT("Ref_EF_Public_Transport"&amp;"_"&amp;$C39),3,0)),"")</f>
        <v/>
      </c>
      <c r="AB39" s="31" t="str" cm="1">
        <f t="array" aca="1" ref="AB39" ca="1">IFERROR(_xlfn.IFS(
OR($G39="Fuel Use",$G39="Fuel Use and Vehicle Distance"),VLOOKUP($M39,INDIRECT("Ref_EF_ByFuel"&amp;"_"&amp;$C39),5,0),
$G39="Vehicle Distance (e.g. Road Transport)",VLOOKUP($H39,INDIRECT("Ref_EF_Vehicle_Distance"&amp;"_"&amp;$C39),5,0),
$G39="Vehicle Distance (e.g. Public or Freight Transport)",VLOOKUP($H39,INDIRECT("Ref_EF_Vehicle_Distance_S3"&amp;"_"&amp;$C39),5,0),
$G39="Custom Vehicle",VLOOKUP($H39,Tbl_vehical_Settings,6,0),
$G39="Custom Fuel",VLOOKUP($M39,Tbl_Fuel_Settings,6,0),
$G39="Weight Distance (e.g. Freight Transport)",VLOOKUP($H39,INDIRECT("Ref_EF_Weight_Distance"&amp;"_"&amp;$C39),5,0),
$G39="Passenger Distance (e.g. Public Transport)",VLOOKUP($H39,INDIRECT("Ref_EF_Public_Transport"&amp;"_"&amp;$C39),5,0)),"")</f>
        <v/>
      </c>
      <c r="AC39" s="31" t="str" cm="1">
        <f t="array" aca="1" ref="AC39" ca="1">IFERROR(_xlfn.IFS(
OR($G39="Fuel Use",$G39="Fuel Use and Vehicle Distance"),VLOOKUP($M39,INDIRECT("Ref_EF_ByFuel"&amp;"_"&amp;$C39),6,0),
$G39="Vehicle Distance (e.g. Road Transport)",VLOOKUP($H39,INDIRECT("Ref_EF_Vehicle_Distance"&amp;"_"&amp;$C39),6,0),
$G39="Vehicle Distance (e.g. Public or Freight Transport)",VLOOKUP($H39,INDIRECT("Ref_EF_Vehicle_Distance_S3"&amp;"_"&amp;$C39),6,0),
$G39="Custom Vehicle",VLOOKUP($H39,Tbl_vehical_Settings,7,0),
$G39="Custom Fuel",VLOOKUP($M39,Tbl_Fuel_Settings,7,0),
$G39="Weight Distance (e.g. Freight Transport)",VLOOKUP($H39,INDIRECT("Ref_EF_Weight_Distance"&amp;"_"&amp;$C39),6,0),
$G39="Passenger Distance (e.g. Public Transport)",VLOOKUP($H39,INDIRECT("Ref_EF_Public_Transport"&amp;"_"&amp;$C39),6,0)),"")</f>
        <v/>
      </c>
      <c r="AD39" s="31" t="str" cm="1">
        <f t="array" aca="1" ref="AD39" ca="1">IFERROR(_xlfn.IFS(
OR($G39="Fuel Use",$G39="Fuel Use and Vehicle Distance"),VLOOKUP($M39,INDIRECT("Ref_EF_ByFuel"&amp;"_"&amp;$C39),4,0),
$G39="Vehicle Distance (e.g. Road Transport)",VLOOKUP($H39,INDIRECT("Ref_EF_Vehicle_Distance"&amp;"_"&amp;$C39),4,0),
$G39="Vehicle Distance (e.g. Public or Freight Transport)",VLOOKUP($H39,INDIRECT("Ref_EF_Vehicle_Distance_S3"&amp;"_"&amp;$C39),4,0),
$G39="Custom Vehicle",VLOOKUP($H39,Tbl_vehical_Settings,5,0),
$G39="Custom Fuel",VLOOKUP($M39,Tbl_Fuel_Settings,5,0),
$G39="Weight Distance (e.g. Freight Transport)",VLOOKUP($H39,INDIRECT("Ref_EF_Weight_Distance"&amp;"_"&amp;$C39),4,0),
$G39="Passenger Distance (e.g. Public Transport)",VLOOKUP($H39,INDIRECT("Ref_EF_Public_Transport"&amp;"_"&amp;$C39),4,0)),"")</f>
        <v/>
      </c>
      <c r="AE39" s="31" t="str" cm="1">
        <f t="array" aca="1" ref="AE39" ca="1">IFERROR(_xlfn.IFS(
OR($G39="Fuel Use",$G39="Fuel Use and Vehicle Distance"),VLOOKUP($M39,INDIRECT("Ref_EF_ByFuel"&amp;"_"&amp;$C39),5,0),
$G39="Vehicle Distance (e.g. Road Transport)",VLOOKUP($H39,INDIRECT("Ref_EF_Vehicle_Distance"&amp;"_"&amp;$C39),5,0),
$G39="Vehicle Distance (e.g. Public or Freight Transport)",VLOOKUP($H39,INDIRECT("Ref_EF_Vehicle_Distance_S3"&amp;"_"&amp;$C39),5,0),
$G39="Custom Vehicle",VLOOKUP($H39,Tbl_vehical_Settings,6,0),
$G39="Custom Fuel",VLOOKUP($M39,Tbl_Fuel_Settings,6,0),
$G39="Weight Distance (e.g. Freight Transport)",VLOOKUP($H39,INDIRECT("Ref_EF_Weight_Distance"&amp;"_"&amp;$C39),5,0),
$G39="Passenger Distance (e.g. Public Transport)",VLOOKUP($H39,INDIRECT("Ref_EF_Public_Transport"&amp;"_"&amp;$C39),5,0)),"")</f>
        <v/>
      </c>
      <c r="AF39" s="31" t="str" cm="1">
        <f t="array" aca="1" ref="AF39" ca="1">IFERROR(_xlfn.IFS(
OR($G39="Fuel Use",$G39="Fuel Use and Vehicle Distance"),VLOOKUP($M39,INDIRECT("Ref_EF_ByFuel"&amp;"_"&amp;$C39),6,0),
$G39="Vehicle Distance (e.g. Road Transport)",VLOOKUP($H39,INDIRECT("Ref_EF_Vehicle_Distance"&amp;"_"&amp;$C39),6,0),
$G39="Vehicle Distance (e.g. Public or Freight Transport)",VLOOKUP($H39,INDIRECT("Ref_EF_Vehicle_Distance_S3"&amp;"_"&amp;$C39),6,0),
$G39="Custom Vehicle",VLOOKUP($H39,Tbl_vehical_Settings,7,0),
$G39="Custom Fuel",VLOOKUP($M39,Tbl_Fuel_Settings,7,0),
$G39="Weight Distance (e.g. Freight Transport)",VLOOKUP($H39,INDIRECT("Ref_EF_Weight_Distance"&amp;"_"&amp;$C39),6,0),
$G39="Passenger Distance (e.g. Public Transport)",VLOOKUP($H39,INDIRECT("Ref_EF_Public_Transport"&amp;"_"&amp;$C39),6,0)),"")</f>
        <v/>
      </c>
      <c r="AG39" s="31" t="str" cm="1">
        <f t="array" aca="1" ref="AG39" ca="1">IFERROR(_xlfn.IFS(
AND($G39="Fuel Use",$E39&lt;&gt;"Road"),VLOOKUP($H39,INDIRECT("Ref_EF_ByFuel_CH4"&amp;"_"&amp;$C39),3,0),
$G39="Vehicle Distance (e.g. Road Transport)",VLOOKUP($H39,INDIRECT("Ref_EF_Vehicle_Distance"&amp;"_"&amp;$C39),7,0),
$G39="Vehicle Distance (e.g. Public or Freight Transport)",VLOOKUP($H39,INDIRECT("Ref_EF_Vehicle_Distance_S3"&amp;"_"&amp;$C39),7,0),
$G39="Fuel Use and Vehicle Distance",VLOOKUP($H39,INDIRECT("Ref_EF_Fuel_Vehicle_Distance"&amp;"_"&amp;$C39),3,0),
$G39="Custom Vehicle",VLOOKUP($H39,Tbl_vehical_Settings,3,0),
$G39="Custom Fuel",VLOOKUP($M39,Tbl_Fuel_Settings,3,0),
$G39="Weight Distance (e.g. Freight Transport)",VLOOKUP($H39,INDIRECT("Ref_EF_Weight_Distance_CH4"&amp;"_"&amp;$C39),3,0),
$G39="Passenger Distance (e.g. Public Transport)",VLOOKUP($H39,INDIRECT("Ref_EF_Public_Transport_CH4"&amp;"_"&amp;$C39),7,0)),"")</f>
        <v/>
      </c>
      <c r="AH39" s="31" t="str" cm="1">
        <f t="array" aca="1" ref="AH39" ca="1">IFERROR(_xlfn.IFS(
AND($G39="Fuel Use",$E39&lt;&gt;"Road"),VLOOKUP($H39,INDIRECT("Ref_EF_ByFuel_CH4"&amp;"_"&amp;$C39),4,0),
$G39="Vehicle Distance (e.g. Road Transport)",VLOOKUP($H39,INDIRECT("Ref_EF_Vehicle_Distance"&amp;"_"&amp;$C39),8,0),
$G39="Vehicle Distance (e.g. Public or Freight Transport)",VLOOKUP($H39,INDIRECT("Ref_EF_Vehicle_Distance_S3"&amp;"_"&amp;$C39),8,0),
$G39="Fuel Use and Vehicle Distance",VLOOKUP($H39,INDIRECT("Ref_EF_Fuel_Vehicle_Distance"&amp;"_"&amp;$C39),4,0),
$G39="Custom Vehicle",VLOOKUP($H39,Tbl_vehical_Settings,6,0),
$G39="Custom Fuel",VLOOKUP($M39,Tbl_Fuel_Settings,6,0),
$G39="Weight Distance (e.g. Freight Transport)",VLOOKUP($H39,INDIRECT("Ref_EF_Weight_Distance_CH4"&amp;"_"&amp;$C39),4,0),
$G39="Passenger Distance (e.g. Public Transport)",VLOOKUP($H39,INDIRECT("Ref_EF_Public_Transport_CH4"&amp;"_"&amp;$C39),8,0)),"")</f>
        <v/>
      </c>
      <c r="AI39" s="31" t="str" cm="1">
        <f t="array" aca="1" ref="AI39" ca="1">IFERROR(_xlfn.IFS(
AND($G39="Fuel Use",$E39&lt;&gt;"Road"),VLOOKUP($H39,INDIRECT("Ref_EF_ByFuel_CH4"&amp;"_"&amp;$C39),5,0),
$G39="Vehicle Distance (e.g. Road Transport)",VLOOKUP($H39,INDIRECT("Ref_EF_Vehicle_Distance"&amp;"_"&amp;$C39),9,0),
$G39="Vehicle Distance (e.g. Public or Freight Transport)",VLOOKUP($H39,INDIRECT("Ref_EF_Vehicle_Distance_S3"&amp;"_"&amp;$C39),9,0),
$G39="Fuel Use and Vehicle Distance",VLOOKUP($H39,INDIRECT("Ref_EF_Fuel_Vehicle_Distance"&amp;"_"&amp;$C39),5,0),
$G39="Custom Vehicle",VLOOKUP($H39,Tbl_vehical_Settings,7,0),
$G39="Custom Fuel",VLOOKUP($M39,Tbl_Fuel_Settings,7,0),
$G39="Weight Distance (e.g. Freight Transport)",VLOOKUP($H39,INDIRECT("Ref_EF_Weight_Distance_CH4"&amp;"_"&amp;$C39),5,0),
$G39="Passenger Distance (e.g. Public Transport)",VLOOKUP($H39,INDIRECT("Ref_EF_Public_Transport_CH4"&amp;"_"&amp;$C39),9,0)),"")</f>
        <v/>
      </c>
      <c r="AJ39" s="31" t="str" cm="1">
        <f t="array" aca="1" ref="AJ39" ca="1">IFERROR(_xlfn.IFS(
AND($G39="Fuel Use",$E39&lt;&gt;"Road"),VLOOKUP($H39,INDIRECT("Ref_EF_ByFuel_CH4"&amp;"_"&amp;$C39),6,0),
$G39="Vehicle Distance (e.g. Road Transport)",VLOOKUP($H39,INDIRECT("Ref_EF_Vehicle_Distance"&amp;"_"&amp;$C39),10,0),
$G39="Vehicle Distance (e.g. Public or Freight Transport)",VLOOKUP($H39,INDIRECT("Ref_EF_Vehicle_Distance_S3"&amp;"_"&amp;$C39),10,0),
$G39="Fuel Use and Vehicle Distance",VLOOKUP($H39,INDIRECT("Ref_EF_Fuel_Vehicle_Distance"&amp;"_"&amp;$C39),6,0),
$G39="Custom Vehicle",VLOOKUP($H39,Tbl_vehical_Settings,4,0),
$G39="Custom Fuel",VLOOKUP($M39,Tbl_Fuel_Settings,4,0),
$G39="Weight Distance (e.g. Freight Transport)",VLOOKUP($H39,INDIRECT("Ref_EF_Weight_Distance_CH4"&amp;"_"&amp;$C39),6,0),
$G39="Passenger Distance (e.g. Public Transport)",VLOOKUP($H39,INDIRECT("Ref_EF_Public_Transport_CH4"&amp;"_"&amp;$C39),10,0)),"")</f>
        <v/>
      </c>
      <c r="AK39" s="31" t="str" cm="1">
        <f t="array" aca="1" ref="AK39" ca="1">IFERROR(_xlfn.IFS(
AND($G39="Fuel Use",$E39&lt;&gt;"Road"),VLOOKUP($H39,INDIRECT("Ref_EF_ByFuel_CH4"&amp;"_"&amp;$C39),7,0),
$G39="Vehicle Distance (e.g. Road Transport)",VLOOKUP($H39,INDIRECT("Ref_EF_Vehicle_Distance"&amp;"_"&amp;$C39),11,0),
$G39="Vehicle Distance (e.g. Public or Freight Transport)",VLOOKUP($H39,INDIRECT("Ref_EF_Vehicle_Distance_S3"&amp;"_"&amp;$C39),11,0),
$G39="Fuel Use and Vehicle Distance",VLOOKUP($H39,INDIRECT("Ref_EF_Fuel_Vehicle_Distance"&amp;"_"&amp;$C39),7,0),
$G39="Custom Vehicle",VLOOKUP($H39,Tbl_vehical_Settings,6,0),
$G39="Custom Fuel",VLOOKUP($M39,Tbl_Fuel_Settings,6,0),
$G39="Weight Distance (e.g. Freight Transport)",VLOOKUP($H39,INDIRECT("Ref_EF_Weight_Distance_CH4"&amp;"_"&amp;$C39),7,0),
$G39="Passenger Distance (e.g. Public Transport)",VLOOKUP($H39,INDIRECT("Ref_EF_Public_Transport_CH4"&amp;"_"&amp;$C39),11,0)),"")</f>
        <v/>
      </c>
      <c r="AL39" s="31" t="str" cm="1">
        <f t="array" aca="1" ref="AL39" ca="1">IFERROR(_xlfn.IFS(
AND($G39="Fuel Use",$E39&lt;&gt;"Road"),VLOOKUP($H39,INDIRECT("Ref_EF_ByFuel_CH4"&amp;"_"&amp;$C39),8,0),
$G39="Vehicle Distance (e.g. Road Transport)",VLOOKUP($H39,INDIRECT("Ref_EF_Vehicle_Distance"&amp;"_"&amp;$C39),12,0),
$G39="Vehicle Distance (e.g. Public or Freight Transport)",VLOOKUP($H39,INDIRECT("Ref_EF_Vehicle_Distance_S3"&amp;"_"&amp;$C39),12,0),
$G39="Fuel Use and Vehicle Distance",VLOOKUP($H39,INDIRECT("Ref_EF_Fuel_Vehicle_Distance"&amp;"_"&amp;$C39),8,0),
$G39="Custom Vehicle",VLOOKUP($H39,Tbl_vehical_Settings,7,0),
$G39="Custom Fuel",VLOOKUP($M39,Tbl_Fuel_Settings,7,0),
$G39="Weight Distance (e.g. Freight Transport)",VLOOKUP($H39,INDIRECT("Ref_EF_Weight_Distance_CH4"&amp;"_"&amp;$C39),8,0),
$G39="Passenger Distance (e.g. Public Transport)",VLOOKUP($H39,INDIRECT("Ref_EF_Public_Transport_CH4"&amp;"_"&amp;$C39),12,0)),"")</f>
        <v/>
      </c>
      <c r="AM39" s="31" t="e">
        <f ca="1">INDEX(Ref_Master_Unit_Table,MATCH($AB39,REF_To_Unit,0),MATCH('Reference - Lookup and Unit'!$A$11,Ref_From_Units,0))</f>
        <v>#N/A</v>
      </c>
      <c r="AN39" s="31" t="e">
        <f t="shared" ca="1" si="0"/>
        <v>#N/A</v>
      </c>
      <c r="AO39" s="31" t="e">
        <f ca="1">INDEX(Ref_Master_Unit_Table,MATCH($AE39,REF_To_Unit,0),MATCH('Reference - Lookup and Unit'!$A$11,Ref_From_Units,0))</f>
        <v>#N/A</v>
      </c>
      <c r="AP39" s="31" t="e">
        <f t="shared" ca="1" si="59"/>
        <v>#N/A</v>
      </c>
      <c r="AQ39" s="31" t="e">
        <f ca="1">INDEX(Ref_Master_Unit_Table,MATCH($AH39,REF_To_Unit,0),MATCH('Reference - Lookup and Unit'!$A$11,Ref_From_Units,0))</f>
        <v>#N/A</v>
      </c>
      <c r="AR39" s="31" t="e">
        <f t="shared" ca="1" si="60"/>
        <v>#N/A</v>
      </c>
      <c r="AS39" s="31" t="e">
        <f ca="1">INDEX(Ref_Master_Unit_Table,MATCH($AK39,REF_To_Unit,0),MATCH('Reference - Lookup and Unit'!$A$11,Ref_From_Units,0))</f>
        <v>#N/A</v>
      </c>
      <c r="AT39" s="31" t="e">
        <f t="shared" ca="1" si="61"/>
        <v>#N/A</v>
      </c>
      <c r="AU39" s="31" t="e" cm="1">
        <f t="array" aca="1" ref="AU39"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39" s="31">
        <f t="shared" ca="1" si="48"/>
        <v>27.9</v>
      </c>
      <c r="AW39" s="31">
        <f t="shared" ca="1" si="49"/>
        <v>273</v>
      </c>
      <c r="AX39" s="31" t="e" cm="1">
        <f t="array" aca="1" ref="AX39"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39" s="25" t="e" cm="1">
        <f t="array" ref="AY39">_xlfn.IFS(
AND($E39&lt;&gt;"",$G39="Custom Fuel"),("Settings_Custom_Fuels"),
AND($E39&lt;&gt;"",$G39="Custom vehicle"),("Settings_Custom_Vehicle"),
AND($E39&lt;&gt;"",$G39="Fuel Use"),("Ref_DD_vehicle_FuelUse"&amp;"_"&amp;C39&amp;"_"&amp;E39),
AND($E39&lt;&gt;"",$G39="Fuel Use and Vehicle Distance"),("Ref_DD_Fuel_VehicleDistance"&amp;"_"&amp;C39&amp;"_"&amp;E39),
AND($E39&lt;&gt;"",$G39="Vehicle Distance (e.g. Road Transport)"),("Ref_DD_vehicle_VehicleDistance"&amp;"_"&amp;C39&amp;"_"&amp;E39),
AND($E39&lt;&gt;"",$G39="Weight Distance (e.g. Freight Transport)"),("Ref_DD_vehicle_WeightDistance"&amp;"_"&amp;C39&amp;"_"&amp;E39),
AND($E39&lt;&gt;"",$G39="Vehicle Distance (e.g. Public or Freight Transport)"),("Ref_DD_vehicle_DistanceS3"&amp;"_"&amp;C39),
AND($E39&lt;&gt;"",$G39="Passenger Distance (e.g. Public Transport)"),("Ref_DD_vehicle_Passenger"&amp;"_"&amp;C39&amp;"_"&amp;E39),
AND($E39="",$G39="Fuel Use"),("Ref_DD_vehicle_FuelUse"&amp;"_"&amp;C39),
AND($E39="",OR($G39="Vehicle Distance (e.g. Road Transport)",$G39="Fuel Use and Vehicle Distance")),("Ref_DD_vehicle_VehicleDistance"&amp;"_"&amp;C39),
AND($E39="",$G39="Weight Distance (e.g. Freight Transport)"),("Ref_DD_vehicle_WeightDistance"&amp;"_"&amp;C39),
AND($E39="",$G39="Vehicle Distance (e.g. Public or Freight Transport)"),("Ref_DD_vehicle_DistanceS3"&amp;"_"&amp;C39),
AND($E39="",$G39="Passenger Distance (e.g. Public Transport)"),("Ref_DD_vehicle_Passenger"&amp;"_"&amp;C39))</f>
        <v>#N/A</v>
      </c>
      <c r="AZ39" s="25" t="b">
        <f t="shared" ca="1" si="4"/>
        <v>0</v>
      </c>
      <c r="BA39" s="25" t="str">
        <f t="shared" si="5"/>
        <v/>
      </c>
      <c r="BB39" s="25" t="str">
        <f t="shared" si="6"/>
        <v/>
      </c>
      <c r="BC39" s="25" t="str">
        <f t="shared" si="50"/>
        <v/>
      </c>
      <c r="BD39" s="25" t="str">
        <f t="shared" si="51"/>
        <v/>
      </c>
      <c r="BE39" s="25" t="str">
        <f t="shared" si="52"/>
        <v/>
      </c>
      <c r="BF39" s="25" t="str">
        <f t="shared" si="53"/>
        <v/>
      </c>
      <c r="BG39" s="25" t="str">
        <f t="shared" si="7"/>
        <v/>
      </c>
      <c r="BH39" s="25" t="str">
        <f t="shared" si="8"/>
        <v/>
      </c>
      <c r="BI39" s="25" t="str">
        <f t="shared" si="54"/>
        <v/>
      </c>
      <c r="BJ39" s="25" t="str">
        <f t="shared" si="55"/>
        <v/>
      </c>
      <c r="BK39" s="25" t="str">
        <f t="shared" si="56"/>
        <v/>
      </c>
      <c r="BL39" s="25" t="str">
        <f t="shared" si="57"/>
        <v/>
      </c>
      <c r="BM39" s="25" t="str">
        <f t="shared" si="9"/>
        <v/>
      </c>
      <c r="BN39" s="25" t="str">
        <f t="shared" ca="1" si="10"/>
        <v/>
      </c>
      <c r="BO39" s="25" t="str">
        <f t="shared" si="11"/>
        <v/>
      </c>
      <c r="BP39" s="25" t="str">
        <f t="shared" si="12"/>
        <v/>
      </c>
      <c r="BQ39" s="25" t="str">
        <f t="shared" si="13"/>
        <v/>
      </c>
      <c r="BR39" s="25" t="str">
        <f t="shared" si="14"/>
        <v/>
      </c>
      <c r="BS39" s="25" t="str">
        <f t="shared" si="15"/>
        <v/>
      </c>
      <c r="BT39" s="25" t="str">
        <f t="shared" si="16"/>
        <v/>
      </c>
      <c r="BU39" s="25" t="str">
        <f t="shared" si="17"/>
        <v/>
      </c>
      <c r="BV39" s="25" t="str">
        <f t="shared" si="18"/>
        <v/>
      </c>
      <c r="BW39" s="25" t="str">
        <f t="shared" si="19"/>
        <v/>
      </c>
      <c r="BX39" s="25" t="str">
        <f t="shared" si="20"/>
        <v/>
      </c>
      <c r="BY39" s="25" t="str">
        <f t="shared" si="21"/>
        <v/>
      </c>
      <c r="BZ39" s="25" t="str">
        <f t="shared" si="22"/>
        <v/>
      </c>
      <c r="CA39" s="25" t="str">
        <f t="shared" si="23"/>
        <v/>
      </c>
      <c r="CB39" s="25" t="str">
        <f t="shared" si="24"/>
        <v/>
      </c>
      <c r="CC39" s="25" t="str">
        <f t="shared" si="25"/>
        <v/>
      </c>
      <c r="CD39" s="25" t="str">
        <f t="shared" si="26"/>
        <v/>
      </c>
      <c r="CE39" s="25" t="str">
        <f t="shared" si="27"/>
        <v/>
      </c>
      <c r="CF39" s="25" t="str">
        <f t="shared" si="28"/>
        <v/>
      </c>
      <c r="CG39" s="25" t="str">
        <f t="shared" si="29"/>
        <v/>
      </c>
      <c r="CH39" s="25" t="str">
        <f t="shared" si="30"/>
        <v/>
      </c>
      <c r="CI39" s="25" t="str">
        <f t="shared" si="31"/>
        <v/>
      </c>
      <c r="CJ39" s="25" t="str">
        <f t="shared" si="32"/>
        <v/>
      </c>
      <c r="CK39" s="25" t="str">
        <f t="shared" si="33"/>
        <v/>
      </c>
      <c r="CL39" s="25" t="str">
        <f t="shared" si="34"/>
        <v/>
      </c>
      <c r="CM39" s="25" t="str">
        <f t="shared" si="35"/>
        <v/>
      </c>
      <c r="CN39" s="25" t="str">
        <f t="shared" si="36"/>
        <v/>
      </c>
      <c r="CO39" s="25" t="str">
        <f t="shared" si="37"/>
        <v/>
      </c>
      <c r="CP39" s="25" t="str">
        <f t="shared" si="38"/>
        <v/>
      </c>
      <c r="CQ39" s="25" t="str">
        <f t="shared" si="39"/>
        <v/>
      </c>
      <c r="CR39" s="25" t="str">
        <f t="shared" si="40"/>
        <v/>
      </c>
      <c r="CS39" s="25" t="str">
        <f t="shared" si="41"/>
        <v/>
      </c>
      <c r="CT39" s="25" t="str">
        <f t="shared" si="42"/>
        <v/>
      </c>
      <c r="CU39" s="25" t="str">
        <f t="shared" si="43"/>
        <v/>
      </c>
      <c r="CV39" s="25" t="str">
        <f t="shared" si="44"/>
        <v/>
      </c>
      <c r="CW39" s="25" t="str">
        <f t="shared" si="45"/>
        <v/>
      </c>
      <c r="CX39" s="25" t="str" cm="1">
        <f t="array" ref="CX39">_xlfn.IFNA(_xlfn.IFS(
$G39="Weight Distance (e.g. Freight Transport)","Ref_DD_WeightDistanceUnits",
$G39="Passenger Distance (e.g. Public Transport)","Ref_DD_PasengerDistanceUnits",
$G39="Vehicle Distance (e.g. Road Transport)", "Ref_DD_DistanceUnit",
$G39="Vehicle Distance (e.g. Public or Freight Transport)","Ref_DD_DistanceUnit",
$G39="Fuel Use and Vehicle Distance", "Ref_DD_DistanceUnit",
$G39="Custom Vehicle",VLOOKUP($H39,'2. Settings'!$B$39:$I$54,8,FALSE)),"")</f>
        <v/>
      </c>
      <c r="CY39" s="27" t="str">
        <f ca="1">IF(AND(ISERROR(#REF!*$AU39)=TRUE,ISERROR((S39/1000)*$AV39)=TRUE,ISERROR((T39/1000)*$AW39)=FALSE),((T39/1000)*$AW39),"")</f>
        <v/>
      </c>
      <c r="CZ39" s="27" cm="1">
        <f t="array" ref="CZ39">IFERROR(_xlfn.IFS(
AND($G39="Custom vehicle",OR($J39="Passenger Mile",$J39="Passenger Kilometer")),"Passenger Distance (e.g. Public Transport)",
AND($G39="Custom vehicle",OR($J39="Tonne Mile",$J39="Tonne Kilometer",$J39="Short Ton Kilometer",$J39="Short Ton Mile")),"Weight Distance (e.g. Freight Transport)",
AND($G39="Custom vehicle",OR($J39="Mile",$J39="Kilometer")),"Vehicle Distance (e.g. Road Transport)",
$G39&lt;&gt;"Custom vehicle",$G39),"")</f>
        <v>0</v>
      </c>
      <c r="DA39" s="27" t="str" cm="1">
        <f t="array" ref="DA39">IFERROR(_xlfn.IFS(OR(J39="Tonne Kilometer",J39="Tonne Mile",J39="Short Ton Mile",J39="Short Ton Kilometer"),I39*K39,OR(J39="Passenger Kilometer",J39="Passenger Mile"),I39*L39,OR(J39="Kilometer",J39="Mile"),$I39),"")</f>
        <v/>
      </c>
    </row>
    <row r="40" spans="2:105" x14ac:dyDescent="0.25">
      <c r="B40" s="244"/>
      <c r="C40" s="71" t="str" cm="1">
        <f t="array" ref="C40">IFERROR(_xlfn.IFS($D40="Other", D40&amp;"_" &amp;Ref_Other_to,OR($D40="UK", $D40="US"),$D40),"")</f>
        <v/>
      </c>
      <c r="D40" s="71"/>
      <c r="E40" s="71"/>
      <c r="F40" s="71"/>
      <c r="G40" s="72"/>
      <c r="H40" s="72"/>
      <c r="I40" s="73"/>
      <c r="J40" s="73"/>
      <c r="K40" s="73"/>
      <c r="L40" s="73"/>
      <c r="M40" s="74"/>
      <c r="N40" s="75"/>
      <c r="O40" s="71"/>
      <c r="P40" s="165" t="str">
        <f t="shared" si="58"/>
        <v/>
      </c>
      <c r="Q40" s="166" t="str">
        <f t="shared" si="46"/>
        <v/>
      </c>
      <c r="R40" s="76" t="str" cm="1">
        <f t="array" aca="1" ref="R40" ca="1">IFERROR(_xlfn.IFS(
AND(AA40&gt;0, OR($G40="Fuel Use",$G40="Custom Fuel")),$N40*$AA40*$AM40*$AN40,
AND(AA40&gt;0,$CZ40="Vehicle Distance (e.g. Road Transport)"),$I40*$AA40*$AM40*$AN40,
AND(AA40&gt;0,$CZ40="Vehicle Distance (e.g. Public or Freight Transport)"),$I40*$AA40*$AM40*$AN40,
AND(AA40&gt;0,$CZ40="Fuel Use and Vehicle Distance"),$N40*$AA40*$AM40*$AN40,
AND(AA40&gt;0,$CZ40="Passenger Distance (e.g. Public Transport)"),$DA40*$AA40*$AM40*$AN40,
AND(AA40&gt;0,$CZ40="Weight Distance (e.g. Freight Transport)"),$DA40*$AA40*$AM40*$AN40),"")</f>
        <v/>
      </c>
      <c r="S40" s="77" t="str" cm="1">
        <f t="array" aca="1" ref="S40" ca="1">IFERROR(_xlfn.IFS(
AND(AG40&gt;-1, $G40="Fuel Use and Vehicle Distance"),$I40*$AG40*$AQ40*$AR40,
AND(AG40&gt;-1, $G40="Vehicle Distance (e.g. Road Transport)"),$I40*$AG40*$AQ40*$AR40,
AND(AG40&gt;-1, $CZ40="Vehicle Distance (e.g. Public or Freight Transport)"),$I40*$AG40*$AQ40*$AR40,
AND(AG40&gt;-1, OR($G40="Fuel Use",$G40="Custom Fuel")), $N40*$AG40*$AQ40*$AR40*1000,
AND(AG40&gt;-1, $G40="Custom Vehicle"),$DA40*$AG40*$AQ40*$AR40*1000,
AND(AG40&gt;-1, AND($G40&lt;&gt;"Custom Vehicle",$CZ40="Weight Distance (e.g. Freight Transport)")),$DA40*$AG40*$AQ40*$AR40*1000,
AND(AG40&gt;-1, AND($G40&lt;&gt;"Custom Vehicle",$CZ40="Passenger Distance (e.g. Public Transport)")), $DA40*$AG40*$AQ40*$AR40*1000),"")</f>
        <v/>
      </c>
      <c r="T40" s="77" t="str" cm="1">
        <f t="array" aca="1" ref="T40" ca="1">IFERROR(_xlfn.IFS(
AND(AJ40&gt;0,$G40="Fuel Use and Vehicle Distance"),$I40*$AJ40*$AS40*$AT40,
AND(AJ40&gt;0,$G40="Vehicle Distance (e.g. Road Transport)"),$I40*$AJ40*$AS40*$AT40,
AND(AJ40&gt;0,$G40="Vehicle Distance (e.g. Public or Freight Transport)"),$I40*$AJ40*$AS40*$AT40,
AND(AJ40&gt;0,OR($G40="Fuel Use",$G40="Custom Fuel")), $N40*$AJ40*$AS40*$AT40*1000,
AND(AJ40&gt;0,$G40="Custom Vehicle"),$DA40*$AJ40*$AS40*$AT40*1000,
AND(AJ40&gt;0,AND($G40&lt;&gt;"Custom Vehicle",$CZ40="Weight Distance (e.g. Freight Transport)")),$DA40*$AJ40*$AS40*$AT40*1000,
AND(AJ40&gt;0,AND($G40&lt;&gt;"Custom Vehicle",$CZ40="Passenger Distance (e.g. Public Transport)")), $DA40*$AJ40*$AS40*$AT40*1000),"")</f>
        <v/>
      </c>
      <c r="U40" s="78" t="str">
        <f t="shared" ca="1" si="47"/>
        <v/>
      </c>
      <c r="V40" s="161" t="str" cm="1">
        <f t="array" aca="1" ref="V40" ca="1">IFERROR(_xlfn.IFS(
AND(AD40&gt;0,OR($CZ40="Fuel Use",$CZ40="Custom Fuel",$CZ40="Fuel Use and Vehicle Distance")),($N40*$AD40*$AO40*$AP40),
AND(AD40&gt;0,$G40="Custom Vehicle"),$DA40*$AD40*$AO40*$AP40,
AND(AD40&gt;0,$CZ40="Vehicle Distance (e.g. Public or Freight Transport)"),$I40*$AD40*$AM40*$AN40,
AND(AD40&gt;0,$CZ40="Weight Distance (e.g. Freight Transport)"),($I40*$K40*$AD40*$AO40*$AP40),
AND(AD40&gt;0,$CZ40="Passenger Distance (e.g. Public Transport)"),$I40*$L40*$AD40*$AO40*$AP40,
AND(AD40&gt;0,$CZ40="Vehicle Distance (e.g. Road Transport)"),($I40*$AD40*$AO40*$AP40)),"")</f>
        <v/>
      </c>
      <c r="W40" s="164" t="str" cm="1">
        <f t="array" aca="1" ref="W40" ca="1">IFERROR(_xlfn.IFS(AND(ISNUMBER(R40),AA40=0),AA40&amp;" "&amp;"("&amp;AB40&amp;" CO2/"&amp;AC40&amp;")",AND(ISNUMBER(R40),AA40&gt;0),ROUND(AA40,INT(3-LOG(AA40)))&amp;" "&amp;"("&amp;AB40&amp;" CO2/"&amp;AC40&amp;")"),"")</f>
        <v/>
      </c>
      <c r="X40" s="164" t="str" cm="1">
        <f t="array" aca="1" ref="X40" ca="1">IFERROR(_xlfn.IFS(AND(ISNUMBER(S40), AG40=0),AG40&amp;" "&amp;"("&amp;AH40&amp;" CH4/"&amp;AI40&amp;")",AND(ISNUMBER(S40), AG40&gt;0),ROUND(AG40,INT(3-LOG(AG40)))&amp;" "&amp;"("&amp;AH40&amp;" CH4/"&amp;AI40&amp;")"),"")</f>
        <v/>
      </c>
      <c r="Y40" s="164" t="str" cm="1">
        <f t="array" aca="1" ref="Y40" ca="1">IFERROR(_xlfn.IFS(AND(ISNUMBER(T40), AJ40=0),AJ40&amp;" "&amp;"("&amp;AK40&amp;" CH4/"&amp;AL40&amp;")",AND(ISNUMBER(T40), AJ40&gt;0),ROUND(AJ40,INT(3-LOG(AJ40)))&amp;" "&amp;"("&amp;AK40&amp;" N2O/"&amp;AL40&amp;")"),"")</f>
        <v/>
      </c>
      <c r="Z40" s="245" t="str" cm="1">
        <f t="array" aca="1" ref="Z40" ca="1">IFERROR(_xlfn.IFS(AND(ISNUMBER(V40),AD40=0),AD40&amp;" "&amp;"("&amp;AE40&amp;" CO2/"&amp;AF40&amp;")",AND(ISNUMBER(V40),AD40&gt;0),ROUND(AD40,INT(3-LOG(AD40)))&amp;" "&amp;"("&amp;AE40&amp;" CO2/"&amp;AF40&amp;")"),"")</f>
        <v/>
      </c>
      <c r="AA40" s="240" t="str" cm="1">
        <f t="array" aca="1" ref="AA40" ca="1">IFERROR(_xlfn.IFS(
OR($G40="Fuel Use",$G40="Fuel Use and Vehicle Distance"),VLOOKUP($M40,INDIRECT("Ref_EF_ByFuel"&amp;"_"&amp;$C40),3,0),
$G40="Vehicle Distance (e.g. Road Transport)",VLOOKUP($H40,INDIRECT("Ref_EF_Vehicle_Distance"&amp;"_"&amp;$C40),3,0),
$G40="Vehicle Distance (e.g. Public or Freight Transport)",VLOOKUP($H40,INDIRECT("Ref_EF_Vehicle_Distance_S3"&amp;"_"&amp;$C40),3,0),
$G40="Custom Vehicle",VLOOKUP($H40,Tbl_vehical_Settings,2,0),
$G40="Custom Fuel",VLOOKUP($M40,Tbl_Fuel_Settings,2,0),
$G40="Weight Distance (e.g. Freight Transport)",VLOOKUP($H40,INDIRECT("Ref_EF_Weight_Distance"&amp;"_"&amp;$C40),3,0),
$G40="Passenger Distance (e.g. Public Transport)",VLOOKUP($H40,INDIRECT("Ref_EF_Public_Transport"&amp;"_"&amp;$C40),3,0)),"")</f>
        <v/>
      </c>
      <c r="AB40" s="31" t="str" cm="1">
        <f t="array" aca="1" ref="AB40" ca="1">IFERROR(_xlfn.IFS(
OR($G40="Fuel Use",$G40="Fuel Use and Vehicle Distance"),VLOOKUP($M40,INDIRECT("Ref_EF_ByFuel"&amp;"_"&amp;$C40),5,0),
$G40="Vehicle Distance (e.g. Road Transport)",VLOOKUP($H40,INDIRECT("Ref_EF_Vehicle_Distance"&amp;"_"&amp;$C40),5,0),
$G40="Vehicle Distance (e.g. Public or Freight Transport)",VLOOKUP($H40,INDIRECT("Ref_EF_Vehicle_Distance_S3"&amp;"_"&amp;$C40),5,0),
$G40="Custom Vehicle",VLOOKUP($H40,Tbl_vehical_Settings,6,0),
$G40="Custom Fuel",VLOOKUP($M40,Tbl_Fuel_Settings,6,0),
$G40="Weight Distance (e.g. Freight Transport)",VLOOKUP($H40,INDIRECT("Ref_EF_Weight_Distance"&amp;"_"&amp;$C40),5,0),
$G40="Passenger Distance (e.g. Public Transport)",VLOOKUP($H40,INDIRECT("Ref_EF_Public_Transport"&amp;"_"&amp;$C40),5,0)),"")</f>
        <v/>
      </c>
      <c r="AC40" s="31" t="str" cm="1">
        <f t="array" aca="1" ref="AC40" ca="1">IFERROR(_xlfn.IFS(
OR($G40="Fuel Use",$G40="Fuel Use and Vehicle Distance"),VLOOKUP($M40,INDIRECT("Ref_EF_ByFuel"&amp;"_"&amp;$C40),6,0),
$G40="Vehicle Distance (e.g. Road Transport)",VLOOKUP($H40,INDIRECT("Ref_EF_Vehicle_Distance"&amp;"_"&amp;$C40),6,0),
$G40="Vehicle Distance (e.g. Public or Freight Transport)",VLOOKUP($H40,INDIRECT("Ref_EF_Vehicle_Distance_S3"&amp;"_"&amp;$C40),6,0),
$G40="Custom Vehicle",VLOOKUP($H40,Tbl_vehical_Settings,7,0),
$G40="Custom Fuel",VLOOKUP($M40,Tbl_Fuel_Settings,7,0),
$G40="Weight Distance (e.g. Freight Transport)",VLOOKUP($H40,INDIRECT("Ref_EF_Weight_Distance"&amp;"_"&amp;$C40),6,0),
$G40="Passenger Distance (e.g. Public Transport)",VLOOKUP($H40,INDIRECT("Ref_EF_Public_Transport"&amp;"_"&amp;$C40),6,0)),"")</f>
        <v/>
      </c>
      <c r="AD40" s="31" t="str" cm="1">
        <f t="array" aca="1" ref="AD40" ca="1">IFERROR(_xlfn.IFS(
OR($G40="Fuel Use",$G40="Fuel Use and Vehicle Distance"),VLOOKUP($M40,INDIRECT("Ref_EF_ByFuel"&amp;"_"&amp;$C40),4,0),
$G40="Vehicle Distance (e.g. Road Transport)",VLOOKUP($H40,INDIRECT("Ref_EF_Vehicle_Distance"&amp;"_"&amp;$C40),4,0),
$G40="Vehicle Distance (e.g. Public or Freight Transport)",VLOOKUP($H40,INDIRECT("Ref_EF_Vehicle_Distance_S3"&amp;"_"&amp;$C40),4,0),
$G40="Custom Vehicle",VLOOKUP($H40,Tbl_vehical_Settings,5,0),
$G40="Custom Fuel",VLOOKUP($M40,Tbl_Fuel_Settings,5,0),
$G40="Weight Distance (e.g. Freight Transport)",VLOOKUP($H40,INDIRECT("Ref_EF_Weight_Distance"&amp;"_"&amp;$C40),4,0),
$G40="Passenger Distance (e.g. Public Transport)",VLOOKUP($H40,INDIRECT("Ref_EF_Public_Transport"&amp;"_"&amp;$C40),4,0)),"")</f>
        <v/>
      </c>
      <c r="AE40" s="31" t="str" cm="1">
        <f t="array" aca="1" ref="AE40" ca="1">IFERROR(_xlfn.IFS(
OR($G40="Fuel Use",$G40="Fuel Use and Vehicle Distance"),VLOOKUP($M40,INDIRECT("Ref_EF_ByFuel"&amp;"_"&amp;$C40),5,0),
$G40="Vehicle Distance (e.g. Road Transport)",VLOOKUP($H40,INDIRECT("Ref_EF_Vehicle_Distance"&amp;"_"&amp;$C40),5,0),
$G40="Vehicle Distance (e.g. Public or Freight Transport)",VLOOKUP($H40,INDIRECT("Ref_EF_Vehicle_Distance_S3"&amp;"_"&amp;$C40),5,0),
$G40="Custom Vehicle",VLOOKUP($H40,Tbl_vehical_Settings,6,0),
$G40="Custom Fuel",VLOOKUP($M40,Tbl_Fuel_Settings,6,0),
$G40="Weight Distance (e.g. Freight Transport)",VLOOKUP($H40,INDIRECT("Ref_EF_Weight_Distance"&amp;"_"&amp;$C40),5,0),
$G40="Passenger Distance (e.g. Public Transport)",VLOOKUP($H40,INDIRECT("Ref_EF_Public_Transport"&amp;"_"&amp;$C40),5,0)),"")</f>
        <v/>
      </c>
      <c r="AF40" s="31" t="str" cm="1">
        <f t="array" aca="1" ref="AF40" ca="1">IFERROR(_xlfn.IFS(
OR($G40="Fuel Use",$G40="Fuel Use and Vehicle Distance"),VLOOKUP($M40,INDIRECT("Ref_EF_ByFuel"&amp;"_"&amp;$C40),6,0),
$G40="Vehicle Distance (e.g. Road Transport)",VLOOKUP($H40,INDIRECT("Ref_EF_Vehicle_Distance"&amp;"_"&amp;$C40),6,0),
$G40="Vehicle Distance (e.g. Public or Freight Transport)",VLOOKUP($H40,INDIRECT("Ref_EF_Vehicle_Distance_S3"&amp;"_"&amp;$C40),6,0),
$G40="Custom Vehicle",VLOOKUP($H40,Tbl_vehical_Settings,7,0),
$G40="Custom Fuel",VLOOKUP($M40,Tbl_Fuel_Settings,7,0),
$G40="Weight Distance (e.g. Freight Transport)",VLOOKUP($H40,INDIRECT("Ref_EF_Weight_Distance"&amp;"_"&amp;$C40),6,0),
$G40="Passenger Distance (e.g. Public Transport)",VLOOKUP($H40,INDIRECT("Ref_EF_Public_Transport"&amp;"_"&amp;$C40),6,0)),"")</f>
        <v/>
      </c>
      <c r="AG40" s="31" t="str" cm="1">
        <f t="array" aca="1" ref="AG40" ca="1">IFERROR(_xlfn.IFS(
AND($G40="Fuel Use",$E40&lt;&gt;"Road"),VLOOKUP($H40,INDIRECT("Ref_EF_ByFuel_CH4"&amp;"_"&amp;$C40),3,0),
$G40="Vehicle Distance (e.g. Road Transport)",VLOOKUP($H40,INDIRECT("Ref_EF_Vehicle_Distance"&amp;"_"&amp;$C40),7,0),
$G40="Vehicle Distance (e.g. Public or Freight Transport)",VLOOKUP($H40,INDIRECT("Ref_EF_Vehicle_Distance_S3"&amp;"_"&amp;$C40),7,0),
$G40="Fuel Use and Vehicle Distance",VLOOKUP($H40,INDIRECT("Ref_EF_Fuel_Vehicle_Distance"&amp;"_"&amp;$C40),3,0),
$G40="Custom Vehicle",VLOOKUP($H40,Tbl_vehical_Settings,3,0),
$G40="Custom Fuel",VLOOKUP($M40,Tbl_Fuel_Settings,3,0),
$G40="Weight Distance (e.g. Freight Transport)",VLOOKUP($H40,INDIRECT("Ref_EF_Weight_Distance_CH4"&amp;"_"&amp;$C40),3,0),
$G40="Passenger Distance (e.g. Public Transport)",VLOOKUP($H40,INDIRECT("Ref_EF_Public_Transport_CH4"&amp;"_"&amp;$C40),7,0)),"")</f>
        <v/>
      </c>
      <c r="AH40" s="31" t="str" cm="1">
        <f t="array" aca="1" ref="AH40" ca="1">IFERROR(_xlfn.IFS(
AND($G40="Fuel Use",$E40&lt;&gt;"Road"),VLOOKUP($H40,INDIRECT("Ref_EF_ByFuel_CH4"&amp;"_"&amp;$C40),4,0),
$G40="Vehicle Distance (e.g. Road Transport)",VLOOKUP($H40,INDIRECT("Ref_EF_Vehicle_Distance"&amp;"_"&amp;$C40),8,0),
$G40="Vehicle Distance (e.g. Public or Freight Transport)",VLOOKUP($H40,INDIRECT("Ref_EF_Vehicle_Distance_S3"&amp;"_"&amp;$C40),8,0),
$G40="Fuel Use and Vehicle Distance",VLOOKUP($H40,INDIRECT("Ref_EF_Fuel_Vehicle_Distance"&amp;"_"&amp;$C40),4,0),
$G40="Custom Vehicle",VLOOKUP($H40,Tbl_vehical_Settings,6,0),
$G40="Custom Fuel",VLOOKUP($M40,Tbl_Fuel_Settings,6,0),
$G40="Weight Distance (e.g. Freight Transport)",VLOOKUP($H40,INDIRECT("Ref_EF_Weight_Distance_CH4"&amp;"_"&amp;$C40),4,0),
$G40="Passenger Distance (e.g. Public Transport)",VLOOKUP($H40,INDIRECT("Ref_EF_Public_Transport_CH4"&amp;"_"&amp;$C40),8,0)),"")</f>
        <v/>
      </c>
      <c r="AI40" s="31" t="str" cm="1">
        <f t="array" aca="1" ref="AI40" ca="1">IFERROR(_xlfn.IFS(
AND($G40="Fuel Use",$E40&lt;&gt;"Road"),VLOOKUP($H40,INDIRECT("Ref_EF_ByFuel_CH4"&amp;"_"&amp;$C40),5,0),
$G40="Vehicle Distance (e.g. Road Transport)",VLOOKUP($H40,INDIRECT("Ref_EF_Vehicle_Distance"&amp;"_"&amp;$C40),9,0),
$G40="Vehicle Distance (e.g. Public or Freight Transport)",VLOOKUP($H40,INDIRECT("Ref_EF_Vehicle_Distance_S3"&amp;"_"&amp;$C40),9,0),
$G40="Fuel Use and Vehicle Distance",VLOOKUP($H40,INDIRECT("Ref_EF_Fuel_Vehicle_Distance"&amp;"_"&amp;$C40),5,0),
$G40="Custom Vehicle",VLOOKUP($H40,Tbl_vehical_Settings,7,0),
$G40="Custom Fuel",VLOOKUP($M40,Tbl_Fuel_Settings,7,0),
$G40="Weight Distance (e.g. Freight Transport)",VLOOKUP($H40,INDIRECT("Ref_EF_Weight_Distance_CH4"&amp;"_"&amp;$C40),5,0),
$G40="Passenger Distance (e.g. Public Transport)",VLOOKUP($H40,INDIRECT("Ref_EF_Public_Transport_CH4"&amp;"_"&amp;$C40),9,0)),"")</f>
        <v/>
      </c>
      <c r="AJ40" s="31" t="str" cm="1">
        <f t="array" aca="1" ref="AJ40" ca="1">IFERROR(_xlfn.IFS(
AND($G40="Fuel Use",$E40&lt;&gt;"Road"),VLOOKUP($H40,INDIRECT("Ref_EF_ByFuel_CH4"&amp;"_"&amp;$C40),6,0),
$G40="Vehicle Distance (e.g. Road Transport)",VLOOKUP($H40,INDIRECT("Ref_EF_Vehicle_Distance"&amp;"_"&amp;$C40),10,0),
$G40="Vehicle Distance (e.g. Public or Freight Transport)",VLOOKUP($H40,INDIRECT("Ref_EF_Vehicle_Distance_S3"&amp;"_"&amp;$C40),10,0),
$G40="Fuel Use and Vehicle Distance",VLOOKUP($H40,INDIRECT("Ref_EF_Fuel_Vehicle_Distance"&amp;"_"&amp;$C40),6,0),
$G40="Custom Vehicle",VLOOKUP($H40,Tbl_vehical_Settings,4,0),
$G40="Custom Fuel",VLOOKUP($M40,Tbl_Fuel_Settings,4,0),
$G40="Weight Distance (e.g. Freight Transport)",VLOOKUP($H40,INDIRECT("Ref_EF_Weight_Distance_CH4"&amp;"_"&amp;$C40),6,0),
$G40="Passenger Distance (e.g. Public Transport)",VLOOKUP($H40,INDIRECT("Ref_EF_Public_Transport_CH4"&amp;"_"&amp;$C40),10,0)),"")</f>
        <v/>
      </c>
      <c r="AK40" s="31" t="str" cm="1">
        <f t="array" aca="1" ref="AK40" ca="1">IFERROR(_xlfn.IFS(
AND($G40="Fuel Use",$E40&lt;&gt;"Road"),VLOOKUP($H40,INDIRECT("Ref_EF_ByFuel_CH4"&amp;"_"&amp;$C40),7,0),
$G40="Vehicle Distance (e.g. Road Transport)",VLOOKUP($H40,INDIRECT("Ref_EF_Vehicle_Distance"&amp;"_"&amp;$C40),11,0),
$G40="Vehicle Distance (e.g. Public or Freight Transport)",VLOOKUP($H40,INDIRECT("Ref_EF_Vehicle_Distance_S3"&amp;"_"&amp;$C40),11,0),
$G40="Fuel Use and Vehicle Distance",VLOOKUP($H40,INDIRECT("Ref_EF_Fuel_Vehicle_Distance"&amp;"_"&amp;$C40),7,0),
$G40="Custom Vehicle",VLOOKUP($H40,Tbl_vehical_Settings,6,0),
$G40="Custom Fuel",VLOOKUP($M40,Tbl_Fuel_Settings,6,0),
$G40="Weight Distance (e.g. Freight Transport)",VLOOKUP($H40,INDIRECT("Ref_EF_Weight_Distance_CH4"&amp;"_"&amp;$C40),7,0),
$G40="Passenger Distance (e.g. Public Transport)",VLOOKUP($H40,INDIRECT("Ref_EF_Public_Transport_CH4"&amp;"_"&amp;$C40),11,0)),"")</f>
        <v/>
      </c>
      <c r="AL40" s="31" t="str" cm="1">
        <f t="array" aca="1" ref="AL40" ca="1">IFERROR(_xlfn.IFS(
AND($G40="Fuel Use",$E40&lt;&gt;"Road"),VLOOKUP($H40,INDIRECT("Ref_EF_ByFuel_CH4"&amp;"_"&amp;$C40),8,0),
$G40="Vehicle Distance (e.g. Road Transport)",VLOOKUP($H40,INDIRECT("Ref_EF_Vehicle_Distance"&amp;"_"&amp;$C40),12,0),
$G40="Vehicle Distance (e.g. Public or Freight Transport)",VLOOKUP($H40,INDIRECT("Ref_EF_Vehicle_Distance_S3"&amp;"_"&amp;$C40),12,0),
$G40="Fuel Use and Vehicle Distance",VLOOKUP($H40,INDIRECT("Ref_EF_Fuel_Vehicle_Distance"&amp;"_"&amp;$C40),8,0),
$G40="Custom Vehicle",VLOOKUP($H40,Tbl_vehical_Settings,7,0),
$G40="Custom Fuel",VLOOKUP($M40,Tbl_Fuel_Settings,7,0),
$G40="Weight Distance (e.g. Freight Transport)",VLOOKUP($H40,INDIRECT("Ref_EF_Weight_Distance_CH4"&amp;"_"&amp;$C40),8,0),
$G40="Passenger Distance (e.g. Public Transport)",VLOOKUP($H40,INDIRECT("Ref_EF_Public_Transport_CH4"&amp;"_"&amp;$C40),12,0)),"")</f>
        <v/>
      </c>
      <c r="AM40" s="31" t="e">
        <f ca="1">INDEX(Ref_Master_Unit_Table,MATCH($AB40,REF_To_Unit,0),MATCH('Reference - Lookup and Unit'!$A$11,Ref_From_Units,0))</f>
        <v>#N/A</v>
      </c>
      <c r="AN40" s="31" t="e">
        <f t="shared" ca="1" si="0"/>
        <v>#N/A</v>
      </c>
      <c r="AO40" s="31" t="e">
        <f ca="1">INDEX(Ref_Master_Unit_Table,MATCH($AE40,REF_To_Unit,0),MATCH('Reference - Lookup and Unit'!$A$11,Ref_From_Units,0))</f>
        <v>#N/A</v>
      </c>
      <c r="AP40" s="31" t="e">
        <f t="shared" ca="1" si="59"/>
        <v>#N/A</v>
      </c>
      <c r="AQ40" s="31" t="e">
        <f ca="1">INDEX(Ref_Master_Unit_Table,MATCH($AH40,REF_To_Unit,0),MATCH('Reference - Lookup and Unit'!$A$11,Ref_From_Units,0))</f>
        <v>#N/A</v>
      </c>
      <c r="AR40" s="31" t="e">
        <f t="shared" ca="1" si="60"/>
        <v>#N/A</v>
      </c>
      <c r="AS40" s="31" t="e">
        <f ca="1">INDEX(Ref_Master_Unit_Table,MATCH($AK40,REF_To_Unit,0),MATCH('Reference - Lookup and Unit'!$A$11,Ref_From_Units,0))</f>
        <v>#N/A</v>
      </c>
      <c r="AT40" s="31" t="e">
        <f t="shared" ca="1" si="61"/>
        <v>#N/A</v>
      </c>
      <c r="AU40" s="31" t="e" cm="1">
        <f t="array" aca="1" ref="AU40"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40" s="31">
        <f t="shared" ca="1" si="48"/>
        <v>27.9</v>
      </c>
      <c r="AW40" s="31">
        <f t="shared" ca="1" si="49"/>
        <v>273</v>
      </c>
      <c r="AX40" s="31" t="e" cm="1">
        <f t="array" aca="1" ref="AX40"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40" s="25" t="e" cm="1">
        <f t="array" ref="AY40">_xlfn.IFS(
AND($E40&lt;&gt;"",$G40="Custom Fuel"),("Settings_Custom_Fuels"),
AND($E40&lt;&gt;"",$G40="Custom vehicle"),("Settings_Custom_Vehicle"),
AND($E40&lt;&gt;"",$G40="Fuel Use"),("Ref_DD_vehicle_FuelUse"&amp;"_"&amp;C40&amp;"_"&amp;E40),
AND($E40&lt;&gt;"",$G40="Fuel Use and Vehicle Distance"),("Ref_DD_Fuel_VehicleDistance"&amp;"_"&amp;C40&amp;"_"&amp;E40),
AND($E40&lt;&gt;"",$G40="Vehicle Distance (e.g. Road Transport)"),("Ref_DD_vehicle_VehicleDistance"&amp;"_"&amp;C40&amp;"_"&amp;E40),
AND($E40&lt;&gt;"",$G40="Weight Distance (e.g. Freight Transport)"),("Ref_DD_vehicle_WeightDistance"&amp;"_"&amp;C40&amp;"_"&amp;E40),
AND($E40&lt;&gt;"",$G40="Vehicle Distance (e.g. Public or Freight Transport)"),("Ref_DD_vehicle_DistanceS3"&amp;"_"&amp;C40),
AND($E40&lt;&gt;"",$G40="Passenger Distance (e.g. Public Transport)"),("Ref_DD_vehicle_Passenger"&amp;"_"&amp;C40&amp;"_"&amp;E40),
AND($E40="",$G40="Fuel Use"),("Ref_DD_vehicle_FuelUse"&amp;"_"&amp;C40),
AND($E40="",OR($G40="Vehicle Distance (e.g. Road Transport)",$G40="Fuel Use and Vehicle Distance")),("Ref_DD_vehicle_VehicleDistance"&amp;"_"&amp;C40),
AND($E40="",$G40="Weight Distance (e.g. Freight Transport)"),("Ref_DD_vehicle_WeightDistance"&amp;"_"&amp;C40),
AND($E40="",$G40="Vehicle Distance (e.g. Public or Freight Transport)"),("Ref_DD_vehicle_DistanceS3"&amp;"_"&amp;C40),
AND($E40="",$G40="Passenger Distance (e.g. Public Transport)"),("Ref_DD_vehicle_Passenger"&amp;"_"&amp;C40))</f>
        <v>#N/A</v>
      </c>
      <c r="AZ40" s="25" t="b">
        <f t="shared" ca="1" si="4"/>
        <v>0</v>
      </c>
      <c r="BA40" s="25" t="str">
        <f t="shared" si="5"/>
        <v/>
      </c>
      <c r="BB40" s="25" t="str">
        <f t="shared" si="6"/>
        <v/>
      </c>
      <c r="BC40" s="25" t="str">
        <f t="shared" si="50"/>
        <v/>
      </c>
      <c r="BD40" s="25" t="str">
        <f t="shared" si="51"/>
        <v/>
      </c>
      <c r="BE40" s="25" t="str">
        <f t="shared" si="52"/>
        <v/>
      </c>
      <c r="BF40" s="25" t="str">
        <f t="shared" si="53"/>
        <v/>
      </c>
      <c r="BG40" s="25" t="str">
        <f t="shared" si="7"/>
        <v/>
      </c>
      <c r="BH40" s="25" t="str">
        <f t="shared" si="8"/>
        <v/>
      </c>
      <c r="BI40" s="25" t="str">
        <f t="shared" si="54"/>
        <v/>
      </c>
      <c r="BJ40" s="25" t="str">
        <f t="shared" si="55"/>
        <v/>
      </c>
      <c r="BK40" s="25" t="str">
        <f t="shared" si="56"/>
        <v/>
      </c>
      <c r="BL40" s="25" t="str">
        <f t="shared" si="57"/>
        <v/>
      </c>
      <c r="BM40" s="25" t="str">
        <f t="shared" si="9"/>
        <v/>
      </c>
      <c r="BN40" s="25" t="str">
        <f t="shared" ca="1" si="10"/>
        <v/>
      </c>
      <c r="BO40" s="25" t="str">
        <f t="shared" si="11"/>
        <v/>
      </c>
      <c r="BP40" s="25" t="str">
        <f t="shared" si="12"/>
        <v/>
      </c>
      <c r="BQ40" s="25" t="str">
        <f t="shared" si="13"/>
        <v/>
      </c>
      <c r="BR40" s="25" t="str">
        <f t="shared" si="14"/>
        <v/>
      </c>
      <c r="BS40" s="25" t="str">
        <f t="shared" si="15"/>
        <v/>
      </c>
      <c r="BT40" s="25" t="str">
        <f t="shared" si="16"/>
        <v/>
      </c>
      <c r="BU40" s="25" t="str">
        <f t="shared" si="17"/>
        <v/>
      </c>
      <c r="BV40" s="25" t="str">
        <f t="shared" si="18"/>
        <v/>
      </c>
      <c r="BW40" s="25" t="str">
        <f t="shared" si="19"/>
        <v/>
      </c>
      <c r="BX40" s="25" t="str">
        <f t="shared" si="20"/>
        <v/>
      </c>
      <c r="BY40" s="25" t="str">
        <f t="shared" si="21"/>
        <v/>
      </c>
      <c r="BZ40" s="25" t="str">
        <f t="shared" si="22"/>
        <v/>
      </c>
      <c r="CA40" s="25" t="str">
        <f t="shared" si="23"/>
        <v/>
      </c>
      <c r="CB40" s="25" t="str">
        <f t="shared" si="24"/>
        <v/>
      </c>
      <c r="CC40" s="25" t="str">
        <f t="shared" si="25"/>
        <v/>
      </c>
      <c r="CD40" s="25" t="str">
        <f t="shared" si="26"/>
        <v/>
      </c>
      <c r="CE40" s="25" t="str">
        <f t="shared" si="27"/>
        <v/>
      </c>
      <c r="CF40" s="25" t="str">
        <f t="shared" si="28"/>
        <v/>
      </c>
      <c r="CG40" s="25" t="str">
        <f t="shared" si="29"/>
        <v/>
      </c>
      <c r="CH40" s="25" t="str">
        <f t="shared" si="30"/>
        <v/>
      </c>
      <c r="CI40" s="25" t="str">
        <f t="shared" si="31"/>
        <v/>
      </c>
      <c r="CJ40" s="25" t="str">
        <f t="shared" si="32"/>
        <v/>
      </c>
      <c r="CK40" s="25" t="str">
        <f t="shared" si="33"/>
        <v/>
      </c>
      <c r="CL40" s="25" t="str">
        <f t="shared" si="34"/>
        <v/>
      </c>
      <c r="CM40" s="25" t="str">
        <f t="shared" si="35"/>
        <v/>
      </c>
      <c r="CN40" s="25" t="str">
        <f t="shared" si="36"/>
        <v/>
      </c>
      <c r="CO40" s="25" t="str">
        <f t="shared" si="37"/>
        <v/>
      </c>
      <c r="CP40" s="25" t="str">
        <f t="shared" si="38"/>
        <v/>
      </c>
      <c r="CQ40" s="25" t="str">
        <f t="shared" si="39"/>
        <v/>
      </c>
      <c r="CR40" s="25" t="str">
        <f t="shared" si="40"/>
        <v/>
      </c>
      <c r="CS40" s="25" t="str">
        <f t="shared" si="41"/>
        <v/>
      </c>
      <c r="CT40" s="25" t="str">
        <f t="shared" si="42"/>
        <v/>
      </c>
      <c r="CU40" s="25" t="str">
        <f t="shared" si="43"/>
        <v/>
      </c>
      <c r="CV40" s="25" t="str">
        <f t="shared" si="44"/>
        <v/>
      </c>
      <c r="CW40" s="25" t="str">
        <f t="shared" si="45"/>
        <v/>
      </c>
      <c r="CX40" s="25" t="str" cm="1">
        <f t="array" ref="CX40">_xlfn.IFNA(_xlfn.IFS(
$G40="Weight Distance (e.g. Freight Transport)","Ref_DD_WeightDistanceUnits",
$G40="Passenger Distance (e.g. Public Transport)","Ref_DD_PasengerDistanceUnits",
$G40="Vehicle Distance (e.g. Road Transport)", "Ref_DD_DistanceUnit",
$G40="Vehicle Distance (e.g. Public or Freight Transport)","Ref_DD_DistanceUnit",
$G40="Fuel Use and Vehicle Distance", "Ref_DD_DistanceUnit",
$G40="Custom Vehicle",VLOOKUP($H40,'2. Settings'!$B$39:$I$54,8,FALSE)),"")</f>
        <v/>
      </c>
      <c r="CY40" s="27" t="str">
        <f ca="1">IF(AND(ISERROR(#REF!*$AU40)=TRUE,ISERROR((S40/1000)*$AV40)=TRUE,ISERROR((T40/1000)*$AW40)=FALSE),((T40/1000)*$AW40),"")</f>
        <v/>
      </c>
      <c r="CZ40" s="27" cm="1">
        <f t="array" ref="CZ40">IFERROR(_xlfn.IFS(
AND($G40="Custom vehicle",OR($J40="Passenger Mile",$J40="Passenger Kilometer")),"Passenger Distance (e.g. Public Transport)",
AND($G40="Custom vehicle",OR($J40="Tonne Mile",$J40="Tonne Kilometer",$J40="Short Ton Kilometer",$J40="Short Ton Mile")),"Weight Distance (e.g. Freight Transport)",
AND($G40="Custom vehicle",OR($J40="Mile",$J40="Kilometer")),"Vehicle Distance (e.g. Road Transport)",
$G40&lt;&gt;"Custom vehicle",$G40),"")</f>
        <v>0</v>
      </c>
      <c r="DA40" s="27" t="str" cm="1">
        <f t="array" ref="DA40">IFERROR(_xlfn.IFS(OR(J40="Tonne Kilometer",J40="Tonne Mile",J40="Short Ton Mile",J40="Short Ton Kilometer"),I40*K40,OR(J40="Passenger Kilometer",J40="Passenger Mile"),I40*L40,OR(J40="Kilometer",J40="Mile"),$I40),"")</f>
        <v/>
      </c>
    </row>
    <row r="41" spans="2:105" x14ac:dyDescent="0.25">
      <c r="B41" s="244"/>
      <c r="C41" s="71" t="str" cm="1">
        <f t="array" ref="C41">IFERROR(_xlfn.IFS($D41="Other", D41&amp;"_" &amp;Ref_Other_to,OR($D41="UK", $D41="US"),$D41),"")</f>
        <v/>
      </c>
      <c r="D41" s="71"/>
      <c r="E41" s="71"/>
      <c r="F41" s="71"/>
      <c r="G41" s="72"/>
      <c r="H41" s="72"/>
      <c r="I41" s="73"/>
      <c r="J41" s="73"/>
      <c r="K41" s="73"/>
      <c r="L41" s="73"/>
      <c r="M41" s="74"/>
      <c r="N41" s="75"/>
      <c r="O41" s="71"/>
      <c r="P41" s="165" t="str">
        <f t="shared" si="58"/>
        <v/>
      </c>
      <c r="Q41" s="166" t="str">
        <f t="shared" si="46"/>
        <v/>
      </c>
      <c r="R41" s="76" t="str" cm="1">
        <f t="array" aca="1" ref="R41" ca="1">IFERROR(_xlfn.IFS(
AND(AA41&gt;0, OR($G41="Fuel Use",$G41="Custom Fuel")),$N41*$AA41*$AM41*$AN41,
AND(AA41&gt;0,$CZ41="Vehicle Distance (e.g. Road Transport)"),$I41*$AA41*$AM41*$AN41,
AND(AA41&gt;0,$CZ41="Vehicle Distance (e.g. Public or Freight Transport)"),$I41*$AA41*$AM41*$AN41,
AND(AA41&gt;0,$CZ41="Fuel Use and Vehicle Distance"),$N41*$AA41*$AM41*$AN41,
AND(AA41&gt;0,$CZ41="Passenger Distance (e.g. Public Transport)"),$DA41*$AA41*$AM41*$AN41,
AND(AA41&gt;0,$CZ41="Weight Distance (e.g. Freight Transport)"),$DA41*$AA41*$AM41*$AN41),"")</f>
        <v/>
      </c>
      <c r="S41" s="77" t="str" cm="1">
        <f t="array" aca="1" ref="S41" ca="1">IFERROR(_xlfn.IFS(
AND(AG41&gt;-1, $G41="Fuel Use and Vehicle Distance"),$I41*$AG41*$AQ41*$AR41,
AND(AG41&gt;-1, $G41="Vehicle Distance (e.g. Road Transport)"),$I41*$AG41*$AQ41*$AR41,
AND(AG41&gt;-1, $CZ41="Vehicle Distance (e.g. Public or Freight Transport)"),$I41*$AG41*$AQ41*$AR41,
AND(AG41&gt;-1, OR($G41="Fuel Use",$G41="Custom Fuel")), $N41*$AG41*$AQ41*$AR41*1000,
AND(AG41&gt;-1, $G41="Custom Vehicle"),$DA41*$AG41*$AQ41*$AR41*1000,
AND(AG41&gt;-1, AND($G41&lt;&gt;"Custom Vehicle",$CZ41="Weight Distance (e.g. Freight Transport)")),$DA41*$AG41*$AQ41*$AR41*1000,
AND(AG41&gt;-1, AND($G41&lt;&gt;"Custom Vehicle",$CZ41="Passenger Distance (e.g. Public Transport)")), $DA41*$AG41*$AQ41*$AR41*1000),"")</f>
        <v/>
      </c>
      <c r="T41" s="77" t="str" cm="1">
        <f t="array" aca="1" ref="T41" ca="1">IFERROR(_xlfn.IFS(
AND(AJ41&gt;0,$G41="Fuel Use and Vehicle Distance"),$I41*$AJ41*$AS41*$AT41,
AND(AJ41&gt;0,$G41="Vehicle Distance (e.g. Road Transport)"),$I41*$AJ41*$AS41*$AT41,
AND(AJ41&gt;0,$G41="Vehicle Distance (e.g. Public or Freight Transport)"),$I41*$AJ41*$AS41*$AT41,
AND(AJ41&gt;0,OR($G41="Fuel Use",$G41="Custom Fuel")), $N41*$AJ41*$AS41*$AT41*1000,
AND(AJ41&gt;0,$G41="Custom Vehicle"),$DA41*$AJ41*$AS41*$AT41*1000,
AND(AJ41&gt;0,AND($G41&lt;&gt;"Custom Vehicle",$CZ41="Weight Distance (e.g. Freight Transport)")),$DA41*$AJ41*$AS41*$AT41*1000,
AND(AJ41&gt;0,AND($G41&lt;&gt;"Custom Vehicle",$CZ41="Passenger Distance (e.g. Public Transport)")), $DA41*$AJ41*$AS41*$AT41*1000),"")</f>
        <v/>
      </c>
      <c r="U41" s="78" t="str">
        <f t="shared" ca="1" si="47"/>
        <v/>
      </c>
      <c r="V41" s="161" t="str" cm="1">
        <f t="array" aca="1" ref="V41" ca="1">IFERROR(_xlfn.IFS(
AND(AD41&gt;0,OR($CZ41="Fuel Use",$CZ41="Custom Fuel",$CZ41="Fuel Use and Vehicle Distance")),($N41*$AD41*$AO41*$AP41),
AND(AD41&gt;0,$G41="Custom Vehicle"),$DA41*$AD41*$AO41*$AP41,
AND(AD41&gt;0,$CZ41="Vehicle Distance (e.g. Public or Freight Transport)"),$I41*$AD41*$AM41*$AN41,
AND(AD41&gt;0,$CZ41="Weight Distance (e.g. Freight Transport)"),($I41*$K41*$AD41*$AO41*$AP41),
AND(AD41&gt;0,$CZ41="Passenger Distance (e.g. Public Transport)"),$I41*$L41*$AD41*$AO41*$AP41,
AND(AD41&gt;0,$CZ41="Vehicle Distance (e.g. Road Transport)"),($I41*$AD41*$AO41*$AP41)),"")</f>
        <v/>
      </c>
      <c r="W41" s="164" t="str" cm="1">
        <f t="array" aca="1" ref="W41" ca="1">IFERROR(_xlfn.IFS(AND(ISNUMBER(R41),AA41=0),AA41&amp;" "&amp;"("&amp;AB41&amp;" CO2/"&amp;AC41&amp;")",AND(ISNUMBER(R41),AA41&gt;0),ROUND(AA41,INT(3-LOG(AA41)))&amp;" "&amp;"("&amp;AB41&amp;" CO2/"&amp;AC41&amp;")"),"")</f>
        <v/>
      </c>
      <c r="X41" s="164" t="str" cm="1">
        <f t="array" aca="1" ref="X41" ca="1">IFERROR(_xlfn.IFS(AND(ISNUMBER(S41), AG41=0),AG41&amp;" "&amp;"("&amp;AH41&amp;" CH4/"&amp;AI41&amp;")",AND(ISNUMBER(S41), AG41&gt;0),ROUND(AG41,INT(3-LOG(AG41)))&amp;" "&amp;"("&amp;AH41&amp;" CH4/"&amp;AI41&amp;")"),"")</f>
        <v/>
      </c>
      <c r="Y41" s="164" t="str" cm="1">
        <f t="array" aca="1" ref="Y41" ca="1">IFERROR(_xlfn.IFS(AND(ISNUMBER(T41), AJ41=0),AJ41&amp;" "&amp;"("&amp;AK41&amp;" CH4/"&amp;AL41&amp;")",AND(ISNUMBER(T41), AJ41&gt;0),ROUND(AJ41,INT(3-LOG(AJ41)))&amp;" "&amp;"("&amp;AK41&amp;" N2O/"&amp;AL41&amp;")"),"")</f>
        <v/>
      </c>
      <c r="Z41" s="245" t="str" cm="1">
        <f t="array" aca="1" ref="Z41" ca="1">IFERROR(_xlfn.IFS(AND(ISNUMBER(V41),AD41=0),AD41&amp;" "&amp;"("&amp;AE41&amp;" CO2/"&amp;AF41&amp;")",AND(ISNUMBER(V41),AD41&gt;0),ROUND(AD41,INT(3-LOG(AD41)))&amp;" "&amp;"("&amp;AE41&amp;" CO2/"&amp;AF41&amp;")"),"")</f>
        <v/>
      </c>
      <c r="AA41" s="240" t="str" cm="1">
        <f t="array" aca="1" ref="AA41" ca="1">IFERROR(_xlfn.IFS(
OR($G41="Fuel Use",$G41="Fuel Use and Vehicle Distance"),VLOOKUP($M41,INDIRECT("Ref_EF_ByFuel"&amp;"_"&amp;$C41),3,0),
$G41="Vehicle Distance (e.g. Road Transport)",VLOOKUP($H41,INDIRECT("Ref_EF_Vehicle_Distance"&amp;"_"&amp;$C41),3,0),
$G41="Vehicle Distance (e.g. Public or Freight Transport)",VLOOKUP($H41,INDIRECT("Ref_EF_Vehicle_Distance_S3"&amp;"_"&amp;$C41),3,0),
$G41="Custom Vehicle",VLOOKUP($H41,Tbl_vehical_Settings,2,0),
$G41="Custom Fuel",VLOOKUP($M41,Tbl_Fuel_Settings,2,0),
$G41="Weight Distance (e.g. Freight Transport)",VLOOKUP($H41,INDIRECT("Ref_EF_Weight_Distance"&amp;"_"&amp;$C41),3,0),
$G41="Passenger Distance (e.g. Public Transport)",VLOOKUP($H41,INDIRECT("Ref_EF_Public_Transport"&amp;"_"&amp;$C41),3,0)),"")</f>
        <v/>
      </c>
      <c r="AB41" s="31" t="str" cm="1">
        <f t="array" aca="1" ref="AB41" ca="1">IFERROR(_xlfn.IFS(
OR($G41="Fuel Use",$G41="Fuel Use and Vehicle Distance"),VLOOKUP($M41,INDIRECT("Ref_EF_ByFuel"&amp;"_"&amp;$C41),5,0),
$G41="Vehicle Distance (e.g. Road Transport)",VLOOKUP($H41,INDIRECT("Ref_EF_Vehicle_Distance"&amp;"_"&amp;$C41),5,0),
$G41="Vehicle Distance (e.g. Public or Freight Transport)",VLOOKUP($H41,INDIRECT("Ref_EF_Vehicle_Distance_S3"&amp;"_"&amp;$C41),5,0),
$G41="Custom Vehicle",VLOOKUP($H41,Tbl_vehical_Settings,6,0),
$G41="Custom Fuel",VLOOKUP($M41,Tbl_Fuel_Settings,6,0),
$G41="Weight Distance (e.g. Freight Transport)",VLOOKUP($H41,INDIRECT("Ref_EF_Weight_Distance"&amp;"_"&amp;$C41),5,0),
$G41="Passenger Distance (e.g. Public Transport)",VLOOKUP($H41,INDIRECT("Ref_EF_Public_Transport"&amp;"_"&amp;$C41),5,0)),"")</f>
        <v/>
      </c>
      <c r="AC41" s="31" t="str" cm="1">
        <f t="array" aca="1" ref="AC41" ca="1">IFERROR(_xlfn.IFS(
OR($G41="Fuel Use",$G41="Fuel Use and Vehicle Distance"),VLOOKUP($M41,INDIRECT("Ref_EF_ByFuel"&amp;"_"&amp;$C41),6,0),
$G41="Vehicle Distance (e.g. Road Transport)",VLOOKUP($H41,INDIRECT("Ref_EF_Vehicle_Distance"&amp;"_"&amp;$C41),6,0),
$G41="Vehicle Distance (e.g. Public or Freight Transport)",VLOOKUP($H41,INDIRECT("Ref_EF_Vehicle_Distance_S3"&amp;"_"&amp;$C41),6,0),
$G41="Custom Vehicle",VLOOKUP($H41,Tbl_vehical_Settings,7,0),
$G41="Custom Fuel",VLOOKUP($M41,Tbl_Fuel_Settings,7,0),
$G41="Weight Distance (e.g. Freight Transport)",VLOOKUP($H41,INDIRECT("Ref_EF_Weight_Distance"&amp;"_"&amp;$C41),6,0),
$G41="Passenger Distance (e.g. Public Transport)",VLOOKUP($H41,INDIRECT("Ref_EF_Public_Transport"&amp;"_"&amp;$C41),6,0)),"")</f>
        <v/>
      </c>
      <c r="AD41" s="31" t="str" cm="1">
        <f t="array" aca="1" ref="AD41" ca="1">IFERROR(_xlfn.IFS(
OR($G41="Fuel Use",$G41="Fuel Use and Vehicle Distance"),VLOOKUP($M41,INDIRECT("Ref_EF_ByFuel"&amp;"_"&amp;$C41),4,0),
$G41="Vehicle Distance (e.g. Road Transport)",VLOOKUP($H41,INDIRECT("Ref_EF_Vehicle_Distance"&amp;"_"&amp;$C41),4,0),
$G41="Vehicle Distance (e.g. Public or Freight Transport)",VLOOKUP($H41,INDIRECT("Ref_EF_Vehicle_Distance_S3"&amp;"_"&amp;$C41),4,0),
$G41="Custom Vehicle",VLOOKUP($H41,Tbl_vehical_Settings,5,0),
$G41="Custom Fuel",VLOOKUP($M41,Tbl_Fuel_Settings,5,0),
$G41="Weight Distance (e.g. Freight Transport)",VLOOKUP($H41,INDIRECT("Ref_EF_Weight_Distance"&amp;"_"&amp;$C41),4,0),
$G41="Passenger Distance (e.g. Public Transport)",VLOOKUP($H41,INDIRECT("Ref_EF_Public_Transport"&amp;"_"&amp;$C41),4,0)),"")</f>
        <v/>
      </c>
      <c r="AE41" s="31" t="str" cm="1">
        <f t="array" aca="1" ref="AE41" ca="1">IFERROR(_xlfn.IFS(
OR($G41="Fuel Use",$G41="Fuel Use and Vehicle Distance"),VLOOKUP($M41,INDIRECT("Ref_EF_ByFuel"&amp;"_"&amp;$C41),5,0),
$G41="Vehicle Distance (e.g. Road Transport)",VLOOKUP($H41,INDIRECT("Ref_EF_Vehicle_Distance"&amp;"_"&amp;$C41),5,0),
$G41="Vehicle Distance (e.g. Public or Freight Transport)",VLOOKUP($H41,INDIRECT("Ref_EF_Vehicle_Distance_S3"&amp;"_"&amp;$C41),5,0),
$G41="Custom Vehicle",VLOOKUP($H41,Tbl_vehical_Settings,6,0),
$G41="Custom Fuel",VLOOKUP($M41,Tbl_Fuel_Settings,6,0),
$G41="Weight Distance (e.g. Freight Transport)",VLOOKUP($H41,INDIRECT("Ref_EF_Weight_Distance"&amp;"_"&amp;$C41),5,0),
$G41="Passenger Distance (e.g. Public Transport)",VLOOKUP($H41,INDIRECT("Ref_EF_Public_Transport"&amp;"_"&amp;$C41),5,0)),"")</f>
        <v/>
      </c>
      <c r="AF41" s="31" t="str" cm="1">
        <f t="array" aca="1" ref="AF41" ca="1">IFERROR(_xlfn.IFS(
OR($G41="Fuel Use",$G41="Fuel Use and Vehicle Distance"),VLOOKUP($M41,INDIRECT("Ref_EF_ByFuel"&amp;"_"&amp;$C41),6,0),
$G41="Vehicle Distance (e.g. Road Transport)",VLOOKUP($H41,INDIRECT("Ref_EF_Vehicle_Distance"&amp;"_"&amp;$C41),6,0),
$G41="Vehicle Distance (e.g. Public or Freight Transport)",VLOOKUP($H41,INDIRECT("Ref_EF_Vehicle_Distance_S3"&amp;"_"&amp;$C41),6,0),
$G41="Custom Vehicle",VLOOKUP($H41,Tbl_vehical_Settings,7,0),
$G41="Custom Fuel",VLOOKUP($M41,Tbl_Fuel_Settings,7,0),
$G41="Weight Distance (e.g. Freight Transport)",VLOOKUP($H41,INDIRECT("Ref_EF_Weight_Distance"&amp;"_"&amp;$C41),6,0),
$G41="Passenger Distance (e.g. Public Transport)",VLOOKUP($H41,INDIRECT("Ref_EF_Public_Transport"&amp;"_"&amp;$C41),6,0)),"")</f>
        <v/>
      </c>
      <c r="AG41" s="31" t="str" cm="1">
        <f t="array" aca="1" ref="AG41" ca="1">IFERROR(_xlfn.IFS(
AND($G41="Fuel Use",$E41&lt;&gt;"Road"),VLOOKUP($H41,INDIRECT("Ref_EF_ByFuel_CH4"&amp;"_"&amp;$C41),3,0),
$G41="Vehicle Distance (e.g. Road Transport)",VLOOKUP($H41,INDIRECT("Ref_EF_Vehicle_Distance"&amp;"_"&amp;$C41),7,0),
$G41="Vehicle Distance (e.g. Public or Freight Transport)",VLOOKUP($H41,INDIRECT("Ref_EF_Vehicle_Distance_S3"&amp;"_"&amp;$C41),7,0),
$G41="Fuel Use and Vehicle Distance",VLOOKUP($H41,INDIRECT("Ref_EF_Fuel_Vehicle_Distance"&amp;"_"&amp;$C41),3,0),
$G41="Custom Vehicle",VLOOKUP($H41,Tbl_vehical_Settings,3,0),
$G41="Custom Fuel",VLOOKUP($M41,Tbl_Fuel_Settings,3,0),
$G41="Weight Distance (e.g. Freight Transport)",VLOOKUP($H41,INDIRECT("Ref_EF_Weight_Distance_CH4"&amp;"_"&amp;$C41),3,0),
$G41="Passenger Distance (e.g. Public Transport)",VLOOKUP($H41,INDIRECT("Ref_EF_Public_Transport_CH4"&amp;"_"&amp;$C41),7,0)),"")</f>
        <v/>
      </c>
      <c r="AH41" s="31" t="str" cm="1">
        <f t="array" aca="1" ref="AH41" ca="1">IFERROR(_xlfn.IFS(
AND($G41="Fuel Use",$E41&lt;&gt;"Road"),VLOOKUP($H41,INDIRECT("Ref_EF_ByFuel_CH4"&amp;"_"&amp;$C41),4,0),
$G41="Vehicle Distance (e.g. Road Transport)",VLOOKUP($H41,INDIRECT("Ref_EF_Vehicle_Distance"&amp;"_"&amp;$C41),8,0),
$G41="Vehicle Distance (e.g. Public or Freight Transport)",VLOOKUP($H41,INDIRECT("Ref_EF_Vehicle_Distance_S3"&amp;"_"&amp;$C41),8,0),
$G41="Fuel Use and Vehicle Distance",VLOOKUP($H41,INDIRECT("Ref_EF_Fuel_Vehicle_Distance"&amp;"_"&amp;$C41),4,0),
$G41="Custom Vehicle",VLOOKUP($H41,Tbl_vehical_Settings,6,0),
$G41="Custom Fuel",VLOOKUP($M41,Tbl_Fuel_Settings,6,0),
$G41="Weight Distance (e.g. Freight Transport)",VLOOKUP($H41,INDIRECT("Ref_EF_Weight_Distance_CH4"&amp;"_"&amp;$C41),4,0),
$G41="Passenger Distance (e.g. Public Transport)",VLOOKUP($H41,INDIRECT("Ref_EF_Public_Transport_CH4"&amp;"_"&amp;$C41),8,0)),"")</f>
        <v/>
      </c>
      <c r="AI41" s="31" t="str" cm="1">
        <f t="array" aca="1" ref="AI41" ca="1">IFERROR(_xlfn.IFS(
AND($G41="Fuel Use",$E41&lt;&gt;"Road"),VLOOKUP($H41,INDIRECT("Ref_EF_ByFuel_CH4"&amp;"_"&amp;$C41),5,0),
$G41="Vehicle Distance (e.g. Road Transport)",VLOOKUP($H41,INDIRECT("Ref_EF_Vehicle_Distance"&amp;"_"&amp;$C41),9,0),
$G41="Vehicle Distance (e.g. Public or Freight Transport)",VLOOKUP($H41,INDIRECT("Ref_EF_Vehicle_Distance_S3"&amp;"_"&amp;$C41),9,0),
$G41="Fuel Use and Vehicle Distance",VLOOKUP($H41,INDIRECT("Ref_EF_Fuel_Vehicle_Distance"&amp;"_"&amp;$C41),5,0),
$G41="Custom Vehicle",VLOOKUP($H41,Tbl_vehical_Settings,7,0),
$G41="Custom Fuel",VLOOKUP($M41,Tbl_Fuel_Settings,7,0),
$G41="Weight Distance (e.g. Freight Transport)",VLOOKUP($H41,INDIRECT("Ref_EF_Weight_Distance_CH4"&amp;"_"&amp;$C41),5,0),
$G41="Passenger Distance (e.g. Public Transport)",VLOOKUP($H41,INDIRECT("Ref_EF_Public_Transport_CH4"&amp;"_"&amp;$C41),9,0)),"")</f>
        <v/>
      </c>
      <c r="AJ41" s="31" t="str" cm="1">
        <f t="array" aca="1" ref="AJ41" ca="1">IFERROR(_xlfn.IFS(
AND($G41="Fuel Use",$E41&lt;&gt;"Road"),VLOOKUP($H41,INDIRECT("Ref_EF_ByFuel_CH4"&amp;"_"&amp;$C41),6,0),
$G41="Vehicle Distance (e.g. Road Transport)",VLOOKUP($H41,INDIRECT("Ref_EF_Vehicle_Distance"&amp;"_"&amp;$C41),10,0),
$G41="Vehicle Distance (e.g. Public or Freight Transport)",VLOOKUP($H41,INDIRECT("Ref_EF_Vehicle_Distance_S3"&amp;"_"&amp;$C41),10,0),
$G41="Fuel Use and Vehicle Distance",VLOOKUP($H41,INDIRECT("Ref_EF_Fuel_Vehicle_Distance"&amp;"_"&amp;$C41),6,0),
$G41="Custom Vehicle",VLOOKUP($H41,Tbl_vehical_Settings,4,0),
$G41="Custom Fuel",VLOOKUP($M41,Tbl_Fuel_Settings,4,0),
$G41="Weight Distance (e.g. Freight Transport)",VLOOKUP($H41,INDIRECT("Ref_EF_Weight_Distance_CH4"&amp;"_"&amp;$C41),6,0),
$G41="Passenger Distance (e.g. Public Transport)",VLOOKUP($H41,INDIRECT("Ref_EF_Public_Transport_CH4"&amp;"_"&amp;$C41),10,0)),"")</f>
        <v/>
      </c>
      <c r="AK41" s="31" t="str" cm="1">
        <f t="array" aca="1" ref="AK41" ca="1">IFERROR(_xlfn.IFS(
AND($G41="Fuel Use",$E41&lt;&gt;"Road"),VLOOKUP($H41,INDIRECT("Ref_EF_ByFuel_CH4"&amp;"_"&amp;$C41),7,0),
$G41="Vehicle Distance (e.g. Road Transport)",VLOOKUP($H41,INDIRECT("Ref_EF_Vehicle_Distance"&amp;"_"&amp;$C41),11,0),
$G41="Vehicle Distance (e.g. Public or Freight Transport)",VLOOKUP($H41,INDIRECT("Ref_EF_Vehicle_Distance_S3"&amp;"_"&amp;$C41),11,0),
$G41="Fuel Use and Vehicle Distance",VLOOKUP($H41,INDIRECT("Ref_EF_Fuel_Vehicle_Distance"&amp;"_"&amp;$C41),7,0),
$G41="Custom Vehicle",VLOOKUP($H41,Tbl_vehical_Settings,6,0),
$G41="Custom Fuel",VLOOKUP($M41,Tbl_Fuel_Settings,6,0),
$G41="Weight Distance (e.g. Freight Transport)",VLOOKUP($H41,INDIRECT("Ref_EF_Weight_Distance_CH4"&amp;"_"&amp;$C41),7,0),
$G41="Passenger Distance (e.g. Public Transport)",VLOOKUP($H41,INDIRECT("Ref_EF_Public_Transport_CH4"&amp;"_"&amp;$C41),11,0)),"")</f>
        <v/>
      </c>
      <c r="AL41" s="31" t="str" cm="1">
        <f t="array" aca="1" ref="AL41" ca="1">IFERROR(_xlfn.IFS(
AND($G41="Fuel Use",$E41&lt;&gt;"Road"),VLOOKUP($H41,INDIRECT("Ref_EF_ByFuel_CH4"&amp;"_"&amp;$C41),8,0),
$G41="Vehicle Distance (e.g. Road Transport)",VLOOKUP($H41,INDIRECT("Ref_EF_Vehicle_Distance"&amp;"_"&amp;$C41),12,0),
$G41="Vehicle Distance (e.g. Public or Freight Transport)",VLOOKUP($H41,INDIRECT("Ref_EF_Vehicle_Distance_S3"&amp;"_"&amp;$C41),12,0),
$G41="Fuel Use and Vehicle Distance",VLOOKUP($H41,INDIRECT("Ref_EF_Fuel_Vehicle_Distance"&amp;"_"&amp;$C41),8,0),
$G41="Custom Vehicle",VLOOKUP($H41,Tbl_vehical_Settings,7,0),
$G41="Custom Fuel",VLOOKUP($M41,Tbl_Fuel_Settings,7,0),
$G41="Weight Distance (e.g. Freight Transport)",VLOOKUP($H41,INDIRECT("Ref_EF_Weight_Distance_CH4"&amp;"_"&amp;$C41),8,0),
$G41="Passenger Distance (e.g. Public Transport)",VLOOKUP($H41,INDIRECT("Ref_EF_Public_Transport_CH4"&amp;"_"&amp;$C41),12,0)),"")</f>
        <v/>
      </c>
      <c r="AM41" s="31" t="e">
        <f ca="1">INDEX(Ref_Master_Unit_Table,MATCH($AB41,REF_To_Unit,0),MATCH('Reference - Lookup and Unit'!$A$11,Ref_From_Units,0))</f>
        <v>#N/A</v>
      </c>
      <c r="AN41" s="31" t="e">
        <f t="shared" ca="1" si="0"/>
        <v>#N/A</v>
      </c>
      <c r="AO41" s="31" t="e">
        <f ca="1">INDEX(Ref_Master_Unit_Table,MATCH($AE41,REF_To_Unit,0),MATCH('Reference - Lookup and Unit'!$A$11,Ref_From_Units,0))</f>
        <v>#N/A</v>
      </c>
      <c r="AP41" s="31" t="e">
        <f t="shared" ca="1" si="59"/>
        <v>#N/A</v>
      </c>
      <c r="AQ41" s="31" t="e">
        <f ca="1">INDEX(Ref_Master_Unit_Table,MATCH($AH41,REF_To_Unit,0),MATCH('Reference - Lookup and Unit'!$A$11,Ref_From_Units,0))</f>
        <v>#N/A</v>
      </c>
      <c r="AR41" s="31" t="e">
        <f t="shared" ca="1" si="60"/>
        <v>#N/A</v>
      </c>
      <c r="AS41" s="31" t="e">
        <f ca="1">INDEX(Ref_Master_Unit_Table,MATCH($AK41,REF_To_Unit,0),MATCH('Reference - Lookup and Unit'!$A$11,Ref_From_Units,0))</f>
        <v>#N/A</v>
      </c>
      <c r="AT41" s="31" t="e">
        <f t="shared" ca="1" si="61"/>
        <v>#N/A</v>
      </c>
      <c r="AU41" s="31" t="e" cm="1">
        <f t="array" aca="1" ref="AU41"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41" s="31">
        <f t="shared" ca="1" si="48"/>
        <v>27.9</v>
      </c>
      <c r="AW41" s="31">
        <f t="shared" ca="1" si="49"/>
        <v>273</v>
      </c>
      <c r="AX41" s="31" t="e" cm="1">
        <f t="array" aca="1" ref="AX41"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41" s="25" t="e" cm="1">
        <f t="array" ref="AY41">_xlfn.IFS(
AND($E41&lt;&gt;"",$G41="Custom Fuel"),("Settings_Custom_Fuels"),
AND($E41&lt;&gt;"",$G41="Custom vehicle"),("Settings_Custom_Vehicle"),
AND($E41&lt;&gt;"",$G41="Fuel Use"),("Ref_DD_vehicle_FuelUse"&amp;"_"&amp;C41&amp;"_"&amp;E41),
AND($E41&lt;&gt;"",$G41="Fuel Use and Vehicle Distance"),("Ref_DD_Fuel_VehicleDistance"&amp;"_"&amp;C41&amp;"_"&amp;E41),
AND($E41&lt;&gt;"",$G41="Vehicle Distance (e.g. Road Transport)"),("Ref_DD_vehicle_VehicleDistance"&amp;"_"&amp;C41&amp;"_"&amp;E41),
AND($E41&lt;&gt;"",$G41="Weight Distance (e.g. Freight Transport)"),("Ref_DD_vehicle_WeightDistance"&amp;"_"&amp;C41&amp;"_"&amp;E41),
AND($E41&lt;&gt;"",$G41="Vehicle Distance (e.g. Public or Freight Transport)"),("Ref_DD_vehicle_DistanceS3"&amp;"_"&amp;C41),
AND($E41&lt;&gt;"",$G41="Passenger Distance (e.g. Public Transport)"),("Ref_DD_vehicle_Passenger"&amp;"_"&amp;C41&amp;"_"&amp;E41),
AND($E41="",$G41="Fuel Use"),("Ref_DD_vehicle_FuelUse"&amp;"_"&amp;C41),
AND($E41="",OR($G41="Vehicle Distance (e.g. Road Transport)",$G41="Fuel Use and Vehicle Distance")),("Ref_DD_vehicle_VehicleDistance"&amp;"_"&amp;C41),
AND($E41="",$G41="Weight Distance (e.g. Freight Transport)"),("Ref_DD_vehicle_WeightDistance"&amp;"_"&amp;C41),
AND($E41="",$G41="Vehicle Distance (e.g. Public or Freight Transport)"),("Ref_DD_vehicle_DistanceS3"&amp;"_"&amp;C41),
AND($E41="",$G41="Passenger Distance (e.g. Public Transport)"),("Ref_DD_vehicle_Passenger"&amp;"_"&amp;C41))</f>
        <v>#N/A</v>
      </c>
      <c r="AZ41" s="25" t="b">
        <f t="shared" ca="1" si="4"/>
        <v>0</v>
      </c>
      <c r="BA41" s="25" t="str">
        <f t="shared" si="5"/>
        <v/>
      </c>
      <c r="BB41" s="25" t="str">
        <f t="shared" si="6"/>
        <v/>
      </c>
      <c r="BC41" s="25" t="str">
        <f t="shared" si="50"/>
        <v/>
      </c>
      <c r="BD41" s="25" t="str">
        <f t="shared" si="51"/>
        <v/>
      </c>
      <c r="BE41" s="25" t="str">
        <f t="shared" si="52"/>
        <v/>
      </c>
      <c r="BF41" s="25" t="str">
        <f t="shared" si="53"/>
        <v/>
      </c>
      <c r="BG41" s="25" t="str">
        <f t="shared" si="7"/>
        <v/>
      </c>
      <c r="BH41" s="25" t="str">
        <f t="shared" si="8"/>
        <v/>
      </c>
      <c r="BI41" s="25" t="str">
        <f t="shared" si="54"/>
        <v/>
      </c>
      <c r="BJ41" s="25" t="str">
        <f t="shared" si="55"/>
        <v/>
      </c>
      <c r="BK41" s="25" t="str">
        <f t="shared" si="56"/>
        <v/>
      </c>
      <c r="BL41" s="25" t="str">
        <f t="shared" si="57"/>
        <v/>
      </c>
      <c r="BM41" s="25" t="str">
        <f t="shared" si="9"/>
        <v/>
      </c>
      <c r="BN41" s="25" t="str">
        <f t="shared" ca="1" si="10"/>
        <v/>
      </c>
      <c r="BO41" s="25" t="str">
        <f t="shared" si="11"/>
        <v/>
      </c>
      <c r="BP41" s="25" t="str">
        <f t="shared" si="12"/>
        <v/>
      </c>
      <c r="BQ41" s="25" t="str">
        <f t="shared" si="13"/>
        <v/>
      </c>
      <c r="BR41" s="25" t="str">
        <f t="shared" si="14"/>
        <v/>
      </c>
      <c r="BS41" s="25" t="str">
        <f t="shared" si="15"/>
        <v/>
      </c>
      <c r="BT41" s="25" t="str">
        <f t="shared" si="16"/>
        <v/>
      </c>
      <c r="BU41" s="25" t="str">
        <f t="shared" si="17"/>
        <v/>
      </c>
      <c r="BV41" s="25" t="str">
        <f t="shared" si="18"/>
        <v/>
      </c>
      <c r="BW41" s="25" t="str">
        <f t="shared" si="19"/>
        <v/>
      </c>
      <c r="BX41" s="25" t="str">
        <f t="shared" si="20"/>
        <v/>
      </c>
      <c r="BY41" s="25" t="str">
        <f t="shared" si="21"/>
        <v/>
      </c>
      <c r="BZ41" s="25" t="str">
        <f t="shared" si="22"/>
        <v/>
      </c>
      <c r="CA41" s="25" t="str">
        <f t="shared" si="23"/>
        <v/>
      </c>
      <c r="CB41" s="25" t="str">
        <f t="shared" si="24"/>
        <v/>
      </c>
      <c r="CC41" s="25" t="str">
        <f t="shared" si="25"/>
        <v/>
      </c>
      <c r="CD41" s="25" t="str">
        <f t="shared" si="26"/>
        <v/>
      </c>
      <c r="CE41" s="25" t="str">
        <f t="shared" si="27"/>
        <v/>
      </c>
      <c r="CF41" s="25" t="str">
        <f t="shared" si="28"/>
        <v/>
      </c>
      <c r="CG41" s="25" t="str">
        <f t="shared" si="29"/>
        <v/>
      </c>
      <c r="CH41" s="25" t="str">
        <f t="shared" si="30"/>
        <v/>
      </c>
      <c r="CI41" s="25" t="str">
        <f t="shared" si="31"/>
        <v/>
      </c>
      <c r="CJ41" s="25" t="str">
        <f t="shared" si="32"/>
        <v/>
      </c>
      <c r="CK41" s="25" t="str">
        <f t="shared" si="33"/>
        <v/>
      </c>
      <c r="CL41" s="25" t="str">
        <f t="shared" si="34"/>
        <v/>
      </c>
      <c r="CM41" s="25" t="str">
        <f t="shared" si="35"/>
        <v/>
      </c>
      <c r="CN41" s="25" t="str">
        <f t="shared" si="36"/>
        <v/>
      </c>
      <c r="CO41" s="25" t="str">
        <f t="shared" si="37"/>
        <v/>
      </c>
      <c r="CP41" s="25" t="str">
        <f t="shared" si="38"/>
        <v/>
      </c>
      <c r="CQ41" s="25" t="str">
        <f t="shared" si="39"/>
        <v/>
      </c>
      <c r="CR41" s="25" t="str">
        <f t="shared" si="40"/>
        <v/>
      </c>
      <c r="CS41" s="25" t="str">
        <f t="shared" si="41"/>
        <v/>
      </c>
      <c r="CT41" s="25" t="str">
        <f t="shared" si="42"/>
        <v/>
      </c>
      <c r="CU41" s="25" t="str">
        <f t="shared" si="43"/>
        <v/>
      </c>
      <c r="CV41" s="25" t="str">
        <f t="shared" si="44"/>
        <v/>
      </c>
      <c r="CW41" s="25" t="str">
        <f t="shared" si="45"/>
        <v/>
      </c>
      <c r="CX41" s="25" t="str" cm="1">
        <f t="array" ref="CX41">_xlfn.IFNA(_xlfn.IFS(
$G41="Weight Distance (e.g. Freight Transport)","Ref_DD_WeightDistanceUnits",
$G41="Passenger Distance (e.g. Public Transport)","Ref_DD_PasengerDistanceUnits",
$G41="Vehicle Distance (e.g. Road Transport)", "Ref_DD_DistanceUnit",
$G41="Vehicle Distance (e.g. Public or Freight Transport)","Ref_DD_DistanceUnit",
$G41="Fuel Use and Vehicle Distance", "Ref_DD_DistanceUnit",
$G41="Custom Vehicle",VLOOKUP($H41,'2. Settings'!$B$39:$I$54,8,FALSE)),"")</f>
        <v/>
      </c>
      <c r="CY41" s="27" t="str">
        <f ca="1">IF(AND(ISERROR(#REF!*$AU41)=TRUE,ISERROR((S41/1000)*$AV41)=TRUE,ISERROR((T41/1000)*$AW41)=FALSE),((T41/1000)*$AW41),"")</f>
        <v/>
      </c>
      <c r="CZ41" s="27" cm="1">
        <f t="array" ref="CZ41">IFERROR(_xlfn.IFS(
AND($G41="Custom vehicle",OR($J41="Passenger Mile",$J41="Passenger Kilometer")),"Passenger Distance (e.g. Public Transport)",
AND($G41="Custom vehicle",OR($J41="Tonne Mile",$J41="Tonne Kilometer",$J41="Short Ton Kilometer",$J41="Short Ton Mile")),"Weight Distance (e.g. Freight Transport)",
AND($G41="Custom vehicle",OR($J41="Mile",$J41="Kilometer")),"Vehicle Distance (e.g. Road Transport)",
$G41&lt;&gt;"Custom vehicle",$G41),"")</f>
        <v>0</v>
      </c>
      <c r="DA41" s="27" t="str" cm="1">
        <f t="array" ref="DA41">IFERROR(_xlfn.IFS(OR(J41="Tonne Kilometer",J41="Tonne Mile",J41="Short Ton Mile",J41="Short Ton Kilometer"),I41*K41,OR(J41="Passenger Kilometer",J41="Passenger Mile"),I41*L41,OR(J41="Kilometer",J41="Mile"),$I41),"")</f>
        <v/>
      </c>
    </row>
    <row r="42" spans="2:105" x14ac:dyDescent="0.25">
      <c r="B42" s="244"/>
      <c r="C42" s="71" t="str" cm="1">
        <f t="array" ref="C42">IFERROR(_xlfn.IFS($D42="Other", D42&amp;"_" &amp;Ref_Other_to,OR($D42="UK", $D42="US"),$D42),"")</f>
        <v/>
      </c>
      <c r="D42" s="71"/>
      <c r="E42" s="71"/>
      <c r="F42" s="71"/>
      <c r="G42" s="72"/>
      <c r="H42" s="72"/>
      <c r="I42" s="73"/>
      <c r="J42" s="73"/>
      <c r="K42" s="73"/>
      <c r="L42" s="73"/>
      <c r="M42" s="74"/>
      <c r="N42" s="75"/>
      <c r="O42" s="71"/>
      <c r="P42" s="165" t="str">
        <f t="shared" si="58"/>
        <v/>
      </c>
      <c r="Q42" s="166" t="str">
        <f t="shared" si="46"/>
        <v/>
      </c>
      <c r="R42" s="76" t="str" cm="1">
        <f t="array" aca="1" ref="R42" ca="1">IFERROR(_xlfn.IFS(
AND(AA42&gt;0, OR($G42="Fuel Use",$G42="Custom Fuel")),$N42*$AA42*$AM42*$AN42,
AND(AA42&gt;0,$CZ42="Vehicle Distance (e.g. Road Transport)"),$I42*$AA42*$AM42*$AN42,
AND(AA42&gt;0,$CZ42="Vehicle Distance (e.g. Public or Freight Transport)"),$I42*$AA42*$AM42*$AN42,
AND(AA42&gt;0,$CZ42="Fuel Use and Vehicle Distance"),$N42*$AA42*$AM42*$AN42,
AND(AA42&gt;0,$CZ42="Passenger Distance (e.g. Public Transport)"),$DA42*$AA42*$AM42*$AN42,
AND(AA42&gt;0,$CZ42="Weight Distance (e.g. Freight Transport)"),$DA42*$AA42*$AM42*$AN42),"")</f>
        <v/>
      </c>
      <c r="S42" s="77" t="str" cm="1">
        <f t="array" aca="1" ref="S42" ca="1">IFERROR(_xlfn.IFS(
AND(AG42&gt;-1, $G42="Fuel Use and Vehicle Distance"),$I42*$AG42*$AQ42*$AR42,
AND(AG42&gt;-1, $G42="Vehicle Distance (e.g. Road Transport)"),$I42*$AG42*$AQ42*$AR42,
AND(AG42&gt;-1, $CZ42="Vehicle Distance (e.g. Public or Freight Transport)"),$I42*$AG42*$AQ42*$AR42,
AND(AG42&gt;-1, OR($G42="Fuel Use",$G42="Custom Fuel")), $N42*$AG42*$AQ42*$AR42*1000,
AND(AG42&gt;-1, $G42="Custom Vehicle"),$DA42*$AG42*$AQ42*$AR42*1000,
AND(AG42&gt;-1, AND($G42&lt;&gt;"Custom Vehicle",$CZ42="Weight Distance (e.g. Freight Transport)")),$DA42*$AG42*$AQ42*$AR42*1000,
AND(AG42&gt;-1, AND($G42&lt;&gt;"Custom Vehicle",$CZ42="Passenger Distance (e.g. Public Transport)")), $DA42*$AG42*$AQ42*$AR42*1000),"")</f>
        <v/>
      </c>
      <c r="T42" s="77" t="str" cm="1">
        <f t="array" aca="1" ref="T42" ca="1">IFERROR(_xlfn.IFS(
AND(AJ42&gt;0,$G42="Fuel Use and Vehicle Distance"),$I42*$AJ42*$AS42*$AT42,
AND(AJ42&gt;0,$G42="Vehicle Distance (e.g. Road Transport)"),$I42*$AJ42*$AS42*$AT42,
AND(AJ42&gt;0,$G42="Vehicle Distance (e.g. Public or Freight Transport)"),$I42*$AJ42*$AS42*$AT42,
AND(AJ42&gt;0,OR($G42="Fuel Use",$G42="Custom Fuel")), $N42*$AJ42*$AS42*$AT42*1000,
AND(AJ42&gt;0,$G42="Custom Vehicle"),$DA42*$AJ42*$AS42*$AT42*1000,
AND(AJ42&gt;0,AND($G42&lt;&gt;"Custom Vehicle",$CZ42="Weight Distance (e.g. Freight Transport)")),$DA42*$AJ42*$AS42*$AT42*1000,
AND(AJ42&gt;0,AND($G42&lt;&gt;"Custom Vehicle",$CZ42="Passenger Distance (e.g. Public Transport)")), $DA42*$AJ42*$AS42*$AT42*1000),"")</f>
        <v/>
      </c>
      <c r="U42" s="78" t="str">
        <f t="shared" ca="1" si="47"/>
        <v/>
      </c>
      <c r="V42" s="161" t="str" cm="1">
        <f t="array" aca="1" ref="V42" ca="1">IFERROR(_xlfn.IFS(
AND(AD42&gt;0,OR($CZ42="Fuel Use",$CZ42="Custom Fuel",$CZ42="Fuel Use and Vehicle Distance")),($N42*$AD42*$AO42*$AP42),
AND(AD42&gt;0,$G42="Custom Vehicle"),$DA42*$AD42*$AO42*$AP42,
AND(AD42&gt;0,$CZ42="Vehicle Distance (e.g. Public or Freight Transport)"),$I42*$AD42*$AM42*$AN42,
AND(AD42&gt;0,$CZ42="Weight Distance (e.g. Freight Transport)"),($I42*$K42*$AD42*$AO42*$AP42),
AND(AD42&gt;0,$CZ42="Passenger Distance (e.g. Public Transport)"),$I42*$L42*$AD42*$AO42*$AP42,
AND(AD42&gt;0,$CZ42="Vehicle Distance (e.g. Road Transport)"),($I42*$AD42*$AO42*$AP42)),"")</f>
        <v/>
      </c>
      <c r="W42" s="164" t="str" cm="1">
        <f t="array" aca="1" ref="W42" ca="1">IFERROR(_xlfn.IFS(AND(ISNUMBER(R42),AA42=0),AA42&amp;" "&amp;"("&amp;AB42&amp;" CO2/"&amp;AC42&amp;")",AND(ISNUMBER(R42),AA42&gt;0),ROUND(AA42,INT(3-LOG(AA42)))&amp;" "&amp;"("&amp;AB42&amp;" CO2/"&amp;AC42&amp;")"),"")</f>
        <v/>
      </c>
      <c r="X42" s="164" t="str" cm="1">
        <f t="array" aca="1" ref="X42" ca="1">IFERROR(_xlfn.IFS(AND(ISNUMBER(S42), AG42=0),AG42&amp;" "&amp;"("&amp;AH42&amp;" CH4/"&amp;AI42&amp;")",AND(ISNUMBER(S42), AG42&gt;0),ROUND(AG42,INT(3-LOG(AG42)))&amp;" "&amp;"("&amp;AH42&amp;" CH4/"&amp;AI42&amp;")"),"")</f>
        <v/>
      </c>
      <c r="Y42" s="164" t="str" cm="1">
        <f t="array" aca="1" ref="Y42" ca="1">IFERROR(_xlfn.IFS(AND(ISNUMBER(T42), AJ42=0),AJ42&amp;" "&amp;"("&amp;AK42&amp;" CH4/"&amp;AL42&amp;")",AND(ISNUMBER(T42), AJ42&gt;0),ROUND(AJ42,INT(3-LOG(AJ42)))&amp;" "&amp;"("&amp;AK42&amp;" N2O/"&amp;AL42&amp;")"),"")</f>
        <v/>
      </c>
      <c r="Z42" s="245" t="str" cm="1">
        <f t="array" aca="1" ref="Z42" ca="1">IFERROR(_xlfn.IFS(AND(ISNUMBER(V42),AD42=0),AD42&amp;" "&amp;"("&amp;AE42&amp;" CO2/"&amp;AF42&amp;")",AND(ISNUMBER(V42),AD42&gt;0),ROUND(AD42,INT(3-LOG(AD42)))&amp;" "&amp;"("&amp;AE42&amp;" CO2/"&amp;AF42&amp;")"),"")</f>
        <v/>
      </c>
      <c r="AA42" s="240" t="str" cm="1">
        <f t="array" aca="1" ref="AA42" ca="1">IFERROR(_xlfn.IFS(
OR($G42="Fuel Use",$G42="Fuel Use and Vehicle Distance"),VLOOKUP($M42,INDIRECT("Ref_EF_ByFuel"&amp;"_"&amp;$C42),3,0),
$G42="Vehicle Distance (e.g. Road Transport)",VLOOKUP($H42,INDIRECT("Ref_EF_Vehicle_Distance"&amp;"_"&amp;$C42),3,0),
$G42="Vehicle Distance (e.g. Public or Freight Transport)",VLOOKUP($H42,INDIRECT("Ref_EF_Vehicle_Distance_S3"&amp;"_"&amp;$C42),3,0),
$G42="Custom Vehicle",VLOOKUP($H42,Tbl_vehical_Settings,2,0),
$G42="Custom Fuel",VLOOKUP($M42,Tbl_Fuel_Settings,2,0),
$G42="Weight Distance (e.g. Freight Transport)",VLOOKUP($H42,INDIRECT("Ref_EF_Weight_Distance"&amp;"_"&amp;$C42),3,0),
$G42="Passenger Distance (e.g. Public Transport)",VLOOKUP($H42,INDIRECT("Ref_EF_Public_Transport"&amp;"_"&amp;$C42),3,0)),"")</f>
        <v/>
      </c>
      <c r="AB42" s="31" t="str" cm="1">
        <f t="array" aca="1" ref="AB42" ca="1">IFERROR(_xlfn.IFS(
OR($G42="Fuel Use",$G42="Fuel Use and Vehicle Distance"),VLOOKUP($M42,INDIRECT("Ref_EF_ByFuel"&amp;"_"&amp;$C42),5,0),
$G42="Vehicle Distance (e.g. Road Transport)",VLOOKUP($H42,INDIRECT("Ref_EF_Vehicle_Distance"&amp;"_"&amp;$C42),5,0),
$G42="Vehicle Distance (e.g. Public or Freight Transport)",VLOOKUP($H42,INDIRECT("Ref_EF_Vehicle_Distance_S3"&amp;"_"&amp;$C42),5,0),
$G42="Custom Vehicle",VLOOKUP($H42,Tbl_vehical_Settings,6,0),
$G42="Custom Fuel",VLOOKUP($M42,Tbl_Fuel_Settings,6,0),
$G42="Weight Distance (e.g. Freight Transport)",VLOOKUP($H42,INDIRECT("Ref_EF_Weight_Distance"&amp;"_"&amp;$C42),5,0),
$G42="Passenger Distance (e.g. Public Transport)",VLOOKUP($H42,INDIRECT("Ref_EF_Public_Transport"&amp;"_"&amp;$C42),5,0)),"")</f>
        <v/>
      </c>
      <c r="AC42" s="31" t="str" cm="1">
        <f t="array" aca="1" ref="AC42" ca="1">IFERROR(_xlfn.IFS(
OR($G42="Fuel Use",$G42="Fuel Use and Vehicle Distance"),VLOOKUP($M42,INDIRECT("Ref_EF_ByFuel"&amp;"_"&amp;$C42),6,0),
$G42="Vehicle Distance (e.g. Road Transport)",VLOOKUP($H42,INDIRECT("Ref_EF_Vehicle_Distance"&amp;"_"&amp;$C42),6,0),
$G42="Vehicle Distance (e.g. Public or Freight Transport)",VLOOKUP($H42,INDIRECT("Ref_EF_Vehicle_Distance_S3"&amp;"_"&amp;$C42),6,0),
$G42="Custom Vehicle",VLOOKUP($H42,Tbl_vehical_Settings,7,0),
$G42="Custom Fuel",VLOOKUP($M42,Tbl_Fuel_Settings,7,0),
$G42="Weight Distance (e.g. Freight Transport)",VLOOKUP($H42,INDIRECT("Ref_EF_Weight_Distance"&amp;"_"&amp;$C42),6,0),
$G42="Passenger Distance (e.g. Public Transport)",VLOOKUP($H42,INDIRECT("Ref_EF_Public_Transport"&amp;"_"&amp;$C42),6,0)),"")</f>
        <v/>
      </c>
      <c r="AD42" s="31" t="str" cm="1">
        <f t="array" aca="1" ref="AD42" ca="1">IFERROR(_xlfn.IFS(
OR($G42="Fuel Use",$G42="Fuel Use and Vehicle Distance"),VLOOKUP($M42,INDIRECT("Ref_EF_ByFuel"&amp;"_"&amp;$C42),4,0),
$G42="Vehicle Distance (e.g. Road Transport)",VLOOKUP($H42,INDIRECT("Ref_EF_Vehicle_Distance"&amp;"_"&amp;$C42),4,0),
$G42="Vehicle Distance (e.g. Public or Freight Transport)",VLOOKUP($H42,INDIRECT("Ref_EF_Vehicle_Distance_S3"&amp;"_"&amp;$C42),4,0),
$G42="Custom Vehicle",VLOOKUP($H42,Tbl_vehical_Settings,5,0),
$G42="Custom Fuel",VLOOKUP($M42,Tbl_Fuel_Settings,5,0),
$G42="Weight Distance (e.g. Freight Transport)",VLOOKUP($H42,INDIRECT("Ref_EF_Weight_Distance"&amp;"_"&amp;$C42),4,0),
$G42="Passenger Distance (e.g. Public Transport)",VLOOKUP($H42,INDIRECT("Ref_EF_Public_Transport"&amp;"_"&amp;$C42),4,0)),"")</f>
        <v/>
      </c>
      <c r="AE42" s="31" t="str" cm="1">
        <f t="array" aca="1" ref="AE42" ca="1">IFERROR(_xlfn.IFS(
OR($G42="Fuel Use",$G42="Fuel Use and Vehicle Distance"),VLOOKUP($M42,INDIRECT("Ref_EF_ByFuel"&amp;"_"&amp;$C42),5,0),
$G42="Vehicle Distance (e.g. Road Transport)",VLOOKUP($H42,INDIRECT("Ref_EF_Vehicle_Distance"&amp;"_"&amp;$C42),5,0),
$G42="Vehicle Distance (e.g. Public or Freight Transport)",VLOOKUP($H42,INDIRECT("Ref_EF_Vehicle_Distance_S3"&amp;"_"&amp;$C42),5,0),
$G42="Custom Vehicle",VLOOKUP($H42,Tbl_vehical_Settings,6,0),
$G42="Custom Fuel",VLOOKUP($M42,Tbl_Fuel_Settings,6,0),
$G42="Weight Distance (e.g. Freight Transport)",VLOOKUP($H42,INDIRECT("Ref_EF_Weight_Distance"&amp;"_"&amp;$C42),5,0),
$G42="Passenger Distance (e.g. Public Transport)",VLOOKUP($H42,INDIRECT("Ref_EF_Public_Transport"&amp;"_"&amp;$C42),5,0)),"")</f>
        <v/>
      </c>
      <c r="AF42" s="31" t="str" cm="1">
        <f t="array" aca="1" ref="AF42" ca="1">IFERROR(_xlfn.IFS(
OR($G42="Fuel Use",$G42="Fuel Use and Vehicle Distance"),VLOOKUP($M42,INDIRECT("Ref_EF_ByFuel"&amp;"_"&amp;$C42),6,0),
$G42="Vehicle Distance (e.g. Road Transport)",VLOOKUP($H42,INDIRECT("Ref_EF_Vehicle_Distance"&amp;"_"&amp;$C42),6,0),
$G42="Vehicle Distance (e.g. Public or Freight Transport)",VLOOKUP($H42,INDIRECT("Ref_EF_Vehicle_Distance_S3"&amp;"_"&amp;$C42),6,0),
$G42="Custom Vehicle",VLOOKUP($H42,Tbl_vehical_Settings,7,0),
$G42="Custom Fuel",VLOOKUP($M42,Tbl_Fuel_Settings,7,0),
$G42="Weight Distance (e.g. Freight Transport)",VLOOKUP($H42,INDIRECT("Ref_EF_Weight_Distance"&amp;"_"&amp;$C42),6,0),
$G42="Passenger Distance (e.g. Public Transport)",VLOOKUP($H42,INDIRECT("Ref_EF_Public_Transport"&amp;"_"&amp;$C42),6,0)),"")</f>
        <v/>
      </c>
      <c r="AG42" s="31" t="str" cm="1">
        <f t="array" aca="1" ref="AG42" ca="1">IFERROR(_xlfn.IFS(
AND($G42="Fuel Use",$E42&lt;&gt;"Road"),VLOOKUP($H42,INDIRECT("Ref_EF_ByFuel_CH4"&amp;"_"&amp;$C42),3,0),
$G42="Vehicle Distance (e.g. Road Transport)",VLOOKUP($H42,INDIRECT("Ref_EF_Vehicle_Distance"&amp;"_"&amp;$C42),7,0),
$G42="Vehicle Distance (e.g. Public or Freight Transport)",VLOOKUP($H42,INDIRECT("Ref_EF_Vehicle_Distance_S3"&amp;"_"&amp;$C42),7,0),
$G42="Fuel Use and Vehicle Distance",VLOOKUP($H42,INDIRECT("Ref_EF_Fuel_Vehicle_Distance"&amp;"_"&amp;$C42),3,0),
$G42="Custom Vehicle",VLOOKUP($H42,Tbl_vehical_Settings,3,0),
$G42="Custom Fuel",VLOOKUP($M42,Tbl_Fuel_Settings,3,0),
$G42="Weight Distance (e.g. Freight Transport)",VLOOKUP($H42,INDIRECT("Ref_EF_Weight_Distance_CH4"&amp;"_"&amp;$C42),3,0),
$G42="Passenger Distance (e.g. Public Transport)",VLOOKUP($H42,INDIRECT("Ref_EF_Public_Transport_CH4"&amp;"_"&amp;$C42),7,0)),"")</f>
        <v/>
      </c>
      <c r="AH42" s="31" t="str" cm="1">
        <f t="array" aca="1" ref="AH42" ca="1">IFERROR(_xlfn.IFS(
AND($G42="Fuel Use",$E42&lt;&gt;"Road"),VLOOKUP($H42,INDIRECT("Ref_EF_ByFuel_CH4"&amp;"_"&amp;$C42),4,0),
$G42="Vehicle Distance (e.g. Road Transport)",VLOOKUP($H42,INDIRECT("Ref_EF_Vehicle_Distance"&amp;"_"&amp;$C42),8,0),
$G42="Vehicle Distance (e.g. Public or Freight Transport)",VLOOKUP($H42,INDIRECT("Ref_EF_Vehicle_Distance_S3"&amp;"_"&amp;$C42),8,0),
$G42="Fuel Use and Vehicle Distance",VLOOKUP($H42,INDIRECT("Ref_EF_Fuel_Vehicle_Distance"&amp;"_"&amp;$C42),4,0),
$G42="Custom Vehicle",VLOOKUP($H42,Tbl_vehical_Settings,6,0),
$G42="Custom Fuel",VLOOKUP($M42,Tbl_Fuel_Settings,6,0),
$G42="Weight Distance (e.g. Freight Transport)",VLOOKUP($H42,INDIRECT("Ref_EF_Weight_Distance_CH4"&amp;"_"&amp;$C42),4,0),
$G42="Passenger Distance (e.g. Public Transport)",VLOOKUP($H42,INDIRECT("Ref_EF_Public_Transport_CH4"&amp;"_"&amp;$C42),8,0)),"")</f>
        <v/>
      </c>
      <c r="AI42" s="31" t="str" cm="1">
        <f t="array" aca="1" ref="AI42" ca="1">IFERROR(_xlfn.IFS(
AND($G42="Fuel Use",$E42&lt;&gt;"Road"),VLOOKUP($H42,INDIRECT("Ref_EF_ByFuel_CH4"&amp;"_"&amp;$C42),5,0),
$G42="Vehicle Distance (e.g. Road Transport)",VLOOKUP($H42,INDIRECT("Ref_EF_Vehicle_Distance"&amp;"_"&amp;$C42),9,0),
$G42="Vehicle Distance (e.g. Public or Freight Transport)",VLOOKUP($H42,INDIRECT("Ref_EF_Vehicle_Distance_S3"&amp;"_"&amp;$C42),9,0),
$G42="Fuel Use and Vehicle Distance",VLOOKUP($H42,INDIRECT("Ref_EF_Fuel_Vehicle_Distance"&amp;"_"&amp;$C42),5,0),
$G42="Custom Vehicle",VLOOKUP($H42,Tbl_vehical_Settings,7,0),
$G42="Custom Fuel",VLOOKUP($M42,Tbl_Fuel_Settings,7,0),
$G42="Weight Distance (e.g. Freight Transport)",VLOOKUP($H42,INDIRECT("Ref_EF_Weight_Distance_CH4"&amp;"_"&amp;$C42),5,0),
$G42="Passenger Distance (e.g. Public Transport)",VLOOKUP($H42,INDIRECT("Ref_EF_Public_Transport_CH4"&amp;"_"&amp;$C42),9,0)),"")</f>
        <v/>
      </c>
      <c r="AJ42" s="31" t="str" cm="1">
        <f t="array" aca="1" ref="AJ42" ca="1">IFERROR(_xlfn.IFS(
AND($G42="Fuel Use",$E42&lt;&gt;"Road"),VLOOKUP($H42,INDIRECT("Ref_EF_ByFuel_CH4"&amp;"_"&amp;$C42),6,0),
$G42="Vehicle Distance (e.g. Road Transport)",VLOOKUP($H42,INDIRECT("Ref_EF_Vehicle_Distance"&amp;"_"&amp;$C42),10,0),
$G42="Vehicle Distance (e.g. Public or Freight Transport)",VLOOKUP($H42,INDIRECT("Ref_EF_Vehicle_Distance_S3"&amp;"_"&amp;$C42),10,0),
$G42="Fuel Use and Vehicle Distance",VLOOKUP($H42,INDIRECT("Ref_EF_Fuel_Vehicle_Distance"&amp;"_"&amp;$C42),6,0),
$G42="Custom Vehicle",VLOOKUP($H42,Tbl_vehical_Settings,4,0),
$G42="Custom Fuel",VLOOKUP($M42,Tbl_Fuel_Settings,4,0),
$G42="Weight Distance (e.g. Freight Transport)",VLOOKUP($H42,INDIRECT("Ref_EF_Weight_Distance_CH4"&amp;"_"&amp;$C42),6,0),
$G42="Passenger Distance (e.g. Public Transport)",VLOOKUP($H42,INDIRECT("Ref_EF_Public_Transport_CH4"&amp;"_"&amp;$C42),10,0)),"")</f>
        <v/>
      </c>
      <c r="AK42" s="31" t="str" cm="1">
        <f t="array" aca="1" ref="AK42" ca="1">IFERROR(_xlfn.IFS(
AND($G42="Fuel Use",$E42&lt;&gt;"Road"),VLOOKUP($H42,INDIRECT("Ref_EF_ByFuel_CH4"&amp;"_"&amp;$C42),7,0),
$G42="Vehicle Distance (e.g. Road Transport)",VLOOKUP($H42,INDIRECT("Ref_EF_Vehicle_Distance"&amp;"_"&amp;$C42),11,0),
$G42="Vehicle Distance (e.g. Public or Freight Transport)",VLOOKUP($H42,INDIRECT("Ref_EF_Vehicle_Distance_S3"&amp;"_"&amp;$C42),11,0),
$G42="Fuel Use and Vehicle Distance",VLOOKUP($H42,INDIRECT("Ref_EF_Fuel_Vehicle_Distance"&amp;"_"&amp;$C42),7,0),
$G42="Custom Vehicle",VLOOKUP($H42,Tbl_vehical_Settings,6,0),
$G42="Custom Fuel",VLOOKUP($M42,Tbl_Fuel_Settings,6,0),
$G42="Weight Distance (e.g. Freight Transport)",VLOOKUP($H42,INDIRECT("Ref_EF_Weight_Distance_CH4"&amp;"_"&amp;$C42),7,0),
$G42="Passenger Distance (e.g. Public Transport)",VLOOKUP($H42,INDIRECT("Ref_EF_Public_Transport_CH4"&amp;"_"&amp;$C42),11,0)),"")</f>
        <v/>
      </c>
      <c r="AL42" s="31" t="str" cm="1">
        <f t="array" aca="1" ref="AL42" ca="1">IFERROR(_xlfn.IFS(
AND($G42="Fuel Use",$E42&lt;&gt;"Road"),VLOOKUP($H42,INDIRECT("Ref_EF_ByFuel_CH4"&amp;"_"&amp;$C42),8,0),
$G42="Vehicle Distance (e.g. Road Transport)",VLOOKUP($H42,INDIRECT("Ref_EF_Vehicle_Distance"&amp;"_"&amp;$C42),12,0),
$G42="Vehicle Distance (e.g. Public or Freight Transport)",VLOOKUP($H42,INDIRECT("Ref_EF_Vehicle_Distance_S3"&amp;"_"&amp;$C42),12,0),
$G42="Fuel Use and Vehicle Distance",VLOOKUP($H42,INDIRECT("Ref_EF_Fuel_Vehicle_Distance"&amp;"_"&amp;$C42),8,0),
$G42="Custom Vehicle",VLOOKUP($H42,Tbl_vehical_Settings,7,0),
$G42="Custom Fuel",VLOOKUP($M42,Tbl_Fuel_Settings,7,0),
$G42="Weight Distance (e.g. Freight Transport)",VLOOKUP($H42,INDIRECT("Ref_EF_Weight_Distance_CH4"&amp;"_"&amp;$C42),8,0),
$G42="Passenger Distance (e.g. Public Transport)",VLOOKUP($H42,INDIRECT("Ref_EF_Public_Transport_CH4"&amp;"_"&amp;$C42),12,0)),"")</f>
        <v/>
      </c>
      <c r="AM42" s="31" t="e">
        <f ca="1">INDEX(Ref_Master_Unit_Table,MATCH($AB42,REF_To_Unit,0),MATCH('Reference - Lookup and Unit'!$A$11,Ref_From_Units,0))</f>
        <v>#N/A</v>
      </c>
      <c r="AN42" s="31" t="e">
        <f t="shared" ca="1" si="0"/>
        <v>#N/A</v>
      </c>
      <c r="AO42" s="31" t="e">
        <f ca="1">INDEX(Ref_Master_Unit_Table,MATCH($AE42,REF_To_Unit,0),MATCH('Reference - Lookup and Unit'!$A$11,Ref_From_Units,0))</f>
        <v>#N/A</v>
      </c>
      <c r="AP42" s="31" t="e">
        <f t="shared" ca="1" si="59"/>
        <v>#N/A</v>
      </c>
      <c r="AQ42" s="31" t="e">
        <f ca="1">INDEX(Ref_Master_Unit_Table,MATCH($AH42,REF_To_Unit,0),MATCH('Reference - Lookup and Unit'!$A$11,Ref_From_Units,0))</f>
        <v>#N/A</v>
      </c>
      <c r="AR42" s="31" t="e">
        <f t="shared" ca="1" si="60"/>
        <v>#N/A</v>
      </c>
      <c r="AS42" s="31" t="e">
        <f ca="1">INDEX(Ref_Master_Unit_Table,MATCH($AK42,REF_To_Unit,0),MATCH('Reference - Lookup and Unit'!$A$11,Ref_From_Units,0))</f>
        <v>#N/A</v>
      </c>
      <c r="AT42" s="31" t="e">
        <f t="shared" ca="1" si="61"/>
        <v>#N/A</v>
      </c>
      <c r="AU42" s="31" t="e" cm="1">
        <f t="array" aca="1" ref="AU42"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42" s="31">
        <f t="shared" ca="1" si="48"/>
        <v>27.9</v>
      </c>
      <c r="AW42" s="31">
        <f t="shared" ca="1" si="49"/>
        <v>273</v>
      </c>
      <c r="AX42" s="31" t="e" cm="1">
        <f t="array" aca="1" ref="AX42"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42" s="25" t="e" cm="1">
        <f t="array" ref="AY42">_xlfn.IFS(
AND($E42&lt;&gt;"",$G42="Custom Fuel"),("Settings_Custom_Fuels"),
AND($E42&lt;&gt;"",$G42="Custom vehicle"),("Settings_Custom_Vehicle"),
AND($E42&lt;&gt;"",$G42="Fuel Use"),("Ref_DD_vehicle_FuelUse"&amp;"_"&amp;C42&amp;"_"&amp;E42),
AND($E42&lt;&gt;"",$G42="Fuel Use and Vehicle Distance"),("Ref_DD_Fuel_VehicleDistance"&amp;"_"&amp;C42&amp;"_"&amp;E42),
AND($E42&lt;&gt;"",$G42="Vehicle Distance (e.g. Road Transport)"),("Ref_DD_vehicle_VehicleDistance"&amp;"_"&amp;C42&amp;"_"&amp;E42),
AND($E42&lt;&gt;"",$G42="Weight Distance (e.g. Freight Transport)"),("Ref_DD_vehicle_WeightDistance"&amp;"_"&amp;C42&amp;"_"&amp;E42),
AND($E42&lt;&gt;"",$G42="Vehicle Distance (e.g. Public or Freight Transport)"),("Ref_DD_vehicle_DistanceS3"&amp;"_"&amp;C42),
AND($E42&lt;&gt;"",$G42="Passenger Distance (e.g. Public Transport)"),("Ref_DD_vehicle_Passenger"&amp;"_"&amp;C42&amp;"_"&amp;E42),
AND($E42="",$G42="Fuel Use"),("Ref_DD_vehicle_FuelUse"&amp;"_"&amp;C42),
AND($E42="",OR($G42="Vehicle Distance (e.g. Road Transport)",$G42="Fuel Use and Vehicle Distance")),("Ref_DD_vehicle_VehicleDistance"&amp;"_"&amp;C42),
AND($E42="",$G42="Weight Distance (e.g. Freight Transport)"),("Ref_DD_vehicle_WeightDistance"&amp;"_"&amp;C42),
AND($E42="",$G42="Vehicle Distance (e.g. Public or Freight Transport)"),("Ref_DD_vehicle_DistanceS3"&amp;"_"&amp;C42),
AND($E42="",$G42="Passenger Distance (e.g. Public Transport)"),("Ref_DD_vehicle_Passenger"&amp;"_"&amp;C42))</f>
        <v>#N/A</v>
      </c>
      <c r="AZ42" s="25" t="b">
        <f t="shared" ca="1" si="4"/>
        <v>0</v>
      </c>
      <c r="BA42" s="25" t="str">
        <f t="shared" si="5"/>
        <v/>
      </c>
      <c r="BB42" s="25" t="str">
        <f t="shared" si="6"/>
        <v/>
      </c>
      <c r="BC42" s="25" t="str">
        <f t="shared" si="50"/>
        <v/>
      </c>
      <c r="BD42" s="25" t="str">
        <f t="shared" si="51"/>
        <v/>
      </c>
      <c r="BE42" s="25" t="str">
        <f t="shared" si="52"/>
        <v/>
      </c>
      <c r="BF42" s="25" t="str">
        <f t="shared" si="53"/>
        <v/>
      </c>
      <c r="BG42" s="25" t="str">
        <f t="shared" si="7"/>
        <v/>
      </c>
      <c r="BH42" s="25" t="str">
        <f t="shared" si="8"/>
        <v/>
      </c>
      <c r="BI42" s="25" t="str">
        <f t="shared" si="54"/>
        <v/>
      </c>
      <c r="BJ42" s="25" t="str">
        <f t="shared" si="55"/>
        <v/>
      </c>
      <c r="BK42" s="25" t="str">
        <f t="shared" si="56"/>
        <v/>
      </c>
      <c r="BL42" s="25" t="str">
        <f t="shared" si="57"/>
        <v/>
      </c>
      <c r="BM42" s="25" t="str">
        <f t="shared" si="9"/>
        <v/>
      </c>
      <c r="BN42" s="25" t="str">
        <f t="shared" ca="1" si="10"/>
        <v/>
      </c>
      <c r="BO42" s="25" t="str">
        <f t="shared" si="11"/>
        <v/>
      </c>
      <c r="BP42" s="25" t="str">
        <f t="shared" si="12"/>
        <v/>
      </c>
      <c r="BQ42" s="25" t="str">
        <f t="shared" si="13"/>
        <v/>
      </c>
      <c r="BR42" s="25" t="str">
        <f t="shared" si="14"/>
        <v/>
      </c>
      <c r="BS42" s="25" t="str">
        <f t="shared" si="15"/>
        <v/>
      </c>
      <c r="BT42" s="25" t="str">
        <f t="shared" si="16"/>
        <v/>
      </c>
      <c r="BU42" s="25" t="str">
        <f t="shared" si="17"/>
        <v/>
      </c>
      <c r="BV42" s="25" t="str">
        <f t="shared" si="18"/>
        <v/>
      </c>
      <c r="BW42" s="25" t="str">
        <f t="shared" si="19"/>
        <v/>
      </c>
      <c r="BX42" s="25" t="str">
        <f t="shared" si="20"/>
        <v/>
      </c>
      <c r="BY42" s="25" t="str">
        <f t="shared" si="21"/>
        <v/>
      </c>
      <c r="BZ42" s="25" t="str">
        <f t="shared" si="22"/>
        <v/>
      </c>
      <c r="CA42" s="25" t="str">
        <f t="shared" si="23"/>
        <v/>
      </c>
      <c r="CB42" s="25" t="str">
        <f t="shared" si="24"/>
        <v/>
      </c>
      <c r="CC42" s="25" t="str">
        <f t="shared" si="25"/>
        <v/>
      </c>
      <c r="CD42" s="25" t="str">
        <f t="shared" si="26"/>
        <v/>
      </c>
      <c r="CE42" s="25" t="str">
        <f t="shared" si="27"/>
        <v/>
      </c>
      <c r="CF42" s="25" t="str">
        <f t="shared" si="28"/>
        <v/>
      </c>
      <c r="CG42" s="25" t="str">
        <f t="shared" si="29"/>
        <v/>
      </c>
      <c r="CH42" s="25" t="str">
        <f t="shared" si="30"/>
        <v/>
      </c>
      <c r="CI42" s="25" t="str">
        <f t="shared" si="31"/>
        <v/>
      </c>
      <c r="CJ42" s="25" t="str">
        <f t="shared" si="32"/>
        <v/>
      </c>
      <c r="CK42" s="25" t="str">
        <f t="shared" si="33"/>
        <v/>
      </c>
      <c r="CL42" s="25" t="str">
        <f t="shared" si="34"/>
        <v/>
      </c>
      <c r="CM42" s="25" t="str">
        <f t="shared" si="35"/>
        <v/>
      </c>
      <c r="CN42" s="25" t="str">
        <f t="shared" si="36"/>
        <v/>
      </c>
      <c r="CO42" s="25" t="str">
        <f t="shared" si="37"/>
        <v/>
      </c>
      <c r="CP42" s="25" t="str">
        <f t="shared" si="38"/>
        <v/>
      </c>
      <c r="CQ42" s="25" t="str">
        <f t="shared" si="39"/>
        <v/>
      </c>
      <c r="CR42" s="25" t="str">
        <f t="shared" si="40"/>
        <v/>
      </c>
      <c r="CS42" s="25" t="str">
        <f t="shared" si="41"/>
        <v/>
      </c>
      <c r="CT42" s="25" t="str">
        <f t="shared" si="42"/>
        <v/>
      </c>
      <c r="CU42" s="25" t="str">
        <f t="shared" si="43"/>
        <v/>
      </c>
      <c r="CV42" s="25" t="str">
        <f t="shared" si="44"/>
        <v/>
      </c>
      <c r="CW42" s="25" t="str">
        <f t="shared" si="45"/>
        <v/>
      </c>
      <c r="CX42" s="25" t="str" cm="1">
        <f t="array" ref="CX42">_xlfn.IFNA(_xlfn.IFS(
$G42="Weight Distance (e.g. Freight Transport)","Ref_DD_WeightDistanceUnits",
$G42="Passenger Distance (e.g. Public Transport)","Ref_DD_PasengerDistanceUnits",
$G42="Vehicle Distance (e.g. Road Transport)", "Ref_DD_DistanceUnit",
$G42="Vehicle Distance (e.g. Public or Freight Transport)","Ref_DD_DistanceUnit",
$G42="Fuel Use and Vehicle Distance", "Ref_DD_DistanceUnit",
$G42="Custom Vehicle",VLOOKUP($H42,'2. Settings'!$B$39:$I$54,8,FALSE)),"")</f>
        <v/>
      </c>
      <c r="CY42" s="27" t="str">
        <f ca="1">IF(AND(ISERROR(#REF!*$AU42)=TRUE,ISERROR((S42/1000)*$AV42)=TRUE,ISERROR((T42/1000)*$AW42)=FALSE),((T42/1000)*$AW42),"")</f>
        <v/>
      </c>
      <c r="CZ42" s="27" cm="1">
        <f t="array" ref="CZ42">IFERROR(_xlfn.IFS(
AND($G42="Custom vehicle",OR($J42="Passenger Mile",$J42="Passenger Kilometer")),"Passenger Distance (e.g. Public Transport)",
AND($G42="Custom vehicle",OR($J42="Tonne Mile",$J42="Tonne Kilometer",$J42="Short Ton Kilometer",$J42="Short Ton Mile")),"Weight Distance (e.g. Freight Transport)",
AND($G42="Custom vehicle",OR($J42="Mile",$J42="Kilometer")),"Vehicle Distance (e.g. Road Transport)",
$G42&lt;&gt;"Custom vehicle",$G42),"")</f>
        <v>0</v>
      </c>
      <c r="DA42" s="27" t="str" cm="1">
        <f t="array" ref="DA42">IFERROR(_xlfn.IFS(OR(J42="Tonne Kilometer",J42="Tonne Mile",J42="Short Ton Mile",J42="Short Ton Kilometer"),I42*K42,OR(J42="Passenger Kilometer",J42="Passenger Mile"),I42*L42,OR(J42="Kilometer",J42="Mile"),$I42),"")</f>
        <v/>
      </c>
    </row>
    <row r="43" spans="2:105" x14ac:dyDescent="0.25">
      <c r="B43" s="244"/>
      <c r="C43" s="71" t="str" cm="1">
        <f t="array" ref="C43">IFERROR(_xlfn.IFS($D43="Other", D43&amp;"_" &amp;Ref_Other_to,OR($D43="UK", $D43="US"),$D43),"")</f>
        <v/>
      </c>
      <c r="D43" s="71"/>
      <c r="E43" s="71"/>
      <c r="F43" s="71"/>
      <c r="G43" s="72"/>
      <c r="H43" s="72"/>
      <c r="I43" s="73"/>
      <c r="J43" s="73"/>
      <c r="K43" s="73"/>
      <c r="L43" s="73"/>
      <c r="M43" s="74"/>
      <c r="N43" s="75"/>
      <c r="O43" s="71"/>
      <c r="P43" s="165" t="str">
        <f t="shared" si="58"/>
        <v/>
      </c>
      <c r="Q43" s="166" t="str">
        <f t="shared" si="46"/>
        <v/>
      </c>
      <c r="R43" s="76" t="str" cm="1">
        <f t="array" aca="1" ref="R43" ca="1">IFERROR(_xlfn.IFS(
AND(AA43&gt;0, OR($G43="Fuel Use",$G43="Custom Fuel")),$N43*$AA43*$AM43*$AN43,
AND(AA43&gt;0,$CZ43="Vehicle Distance (e.g. Road Transport)"),$I43*$AA43*$AM43*$AN43,
AND(AA43&gt;0,$CZ43="Vehicle Distance (e.g. Public or Freight Transport)"),$I43*$AA43*$AM43*$AN43,
AND(AA43&gt;0,$CZ43="Fuel Use and Vehicle Distance"),$N43*$AA43*$AM43*$AN43,
AND(AA43&gt;0,$CZ43="Passenger Distance (e.g. Public Transport)"),$DA43*$AA43*$AM43*$AN43,
AND(AA43&gt;0,$CZ43="Weight Distance (e.g. Freight Transport)"),$DA43*$AA43*$AM43*$AN43),"")</f>
        <v/>
      </c>
      <c r="S43" s="77" t="str" cm="1">
        <f t="array" aca="1" ref="S43" ca="1">IFERROR(_xlfn.IFS(
AND(AG43&gt;-1, $G43="Fuel Use and Vehicle Distance"),$I43*$AG43*$AQ43*$AR43,
AND(AG43&gt;-1, $G43="Vehicle Distance (e.g. Road Transport)"),$I43*$AG43*$AQ43*$AR43,
AND(AG43&gt;-1, $CZ43="Vehicle Distance (e.g. Public or Freight Transport)"),$I43*$AG43*$AQ43*$AR43,
AND(AG43&gt;-1, OR($G43="Fuel Use",$G43="Custom Fuel")), $N43*$AG43*$AQ43*$AR43*1000,
AND(AG43&gt;-1, $G43="Custom Vehicle"),$DA43*$AG43*$AQ43*$AR43*1000,
AND(AG43&gt;-1, AND($G43&lt;&gt;"Custom Vehicle",$CZ43="Weight Distance (e.g. Freight Transport)")),$DA43*$AG43*$AQ43*$AR43*1000,
AND(AG43&gt;-1, AND($G43&lt;&gt;"Custom Vehicle",$CZ43="Passenger Distance (e.g. Public Transport)")), $DA43*$AG43*$AQ43*$AR43*1000),"")</f>
        <v/>
      </c>
      <c r="T43" s="77" t="str" cm="1">
        <f t="array" aca="1" ref="T43" ca="1">IFERROR(_xlfn.IFS(
AND(AJ43&gt;0,$G43="Fuel Use and Vehicle Distance"),$I43*$AJ43*$AS43*$AT43,
AND(AJ43&gt;0,$G43="Vehicle Distance (e.g. Road Transport)"),$I43*$AJ43*$AS43*$AT43,
AND(AJ43&gt;0,$G43="Vehicle Distance (e.g. Public or Freight Transport)"),$I43*$AJ43*$AS43*$AT43,
AND(AJ43&gt;0,OR($G43="Fuel Use",$G43="Custom Fuel")), $N43*$AJ43*$AS43*$AT43*1000,
AND(AJ43&gt;0,$G43="Custom Vehicle"),$DA43*$AJ43*$AS43*$AT43*1000,
AND(AJ43&gt;0,AND($G43&lt;&gt;"Custom Vehicle",$CZ43="Weight Distance (e.g. Freight Transport)")),$DA43*$AJ43*$AS43*$AT43*1000,
AND(AJ43&gt;0,AND($G43&lt;&gt;"Custom Vehicle",$CZ43="Passenger Distance (e.g. Public Transport)")), $DA43*$AJ43*$AS43*$AT43*1000),"")</f>
        <v/>
      </c>
      <c r="U43" s="78" t="str">
        <f t="shared" ca="1" si="47"/>
        <v/>
      </c>
      <c r="V43" s="161" t="str" cm="1">
        <f t="array" aca="1" ref="V43" ca="1">IFERROR(_xlfn.IFS(
AND(AD43&gt;0,OR($CZ43="Fuel Use",$CZ43="Custom Fuel",$CZ43="Fuel Use and Vehicle Distance")),($N43*$AD43*$AO43*$AP43),
AND(AD43&gt;0,$G43="Custom Vehicle"),$DA43*$AD43*$AO43*$AP43,
AND(AD43&gt;0,$CZ43="Vehicle Distance (e.g. Public or Freight Transport)"),$I43*$AD43*$AM43*$AN43,
AND(AD43&gt;0,$CZ43="Weight Distance (e.g. Freight Transport)"),($I43*$K43*$AD43*$AO43*$AP43),
AND(AD43&gt;0,$CZ43="Passenger Distance (e.g. Public Transport)"),$I43*$L43*$AD43*$AO43*$AP43,
AND(AD43&gt;0,$CZ43="Vehicle Distance (e.g. Road Transport)"),($I43*$AD43*$AO43*$AP43)),"")</f>
        <v/>
      </c>
      <c r="W43" s="164" t="str" cm="1">
        <f t="array" aca="1" ref="W43" ca="1">IFERROR(_xlfn.IFS(AND(ISNUMBER(R43),AA43=0),AA43&amp;" "&amp;"("&amp;AB43&amp;" CO2/"&amp;AC43&amp;")",AND(ISNUMBER(R43),AA43&gt;0),ROUND(AA43,INT(3-LOG(AA43)))&amp;" "&amp;"("&amp;AB43&amp;" CO2/"&amp;AC43&amp;")"),"")</f>
        <v/>
      </c>
      <c r="X43" s="164" t="str" cm="1">
        <f t="array" aca="1" ref="X43" ca="1">IFERROR(_xlfn.IFS(AND(ISNUMBER(S43), AG43=0),AG43&amp;" "&amp;"("&amp;AH43&amp;" CH4/"&amp;AI43&amp;")",AND(ISNUMBER(S43), AG43&gt;0),ROUND(AG43,INT(3-LOG(AG43)))&amp;" "&amp;"("&amp;AH43&amp;" CH4/"&amp;AI43&amp;")"),"")</f>
        <v/>
      </c>
      <c r="Y43" s="164" t="str" cm="1">
        <f t="array" aca="1" ref="Y43" ca="1">IFERROR(_xlfn.IFS(AND(ISNUMBER(T43), AJ43=0),AJ43&amp;" "&amp;"("&amp;AK43&amp;" CH4/"&amp;AL43&amp;")",AND(ISNUMBER(T43), AJ43&gt;0),ROUND(AJ43,INT(3-LOG(AJ43)))&amp;" "&amp;"("&amp;AK43&amp;" N2O/"&amp;AL43&amp;")"),"")</f>
        <v/>
      </c>
      <c r="Z43" s="245" t="str" cm="1">
        <f t="array" aca="1" ref="Z43" ca="1">IFERROR(_xlfn.IFS(AND(ISNUMBER(V43),AD43=0),AD43&amp;" "&amp;"("&amp;AE43&amp;" CO2/"&amp;AF43&amp;")",AND(ISNUMBER(V43),AD43&gt;0),ROUND(AD43,INT(3-LOG(AD43)))&amp;" "&amp;"("&amp;AE43&amp;" CO2/"&amp;AF43&amp;")"),"")</f>
        <v/>
      </c>
      <c r="AA43" s="240" t="str" cm="1">
        <f t="array" aca="1" ref="AA43" ca="1">IFERROR(_xlfn.IFS(
OR($G43="Fuel Use",$G43="Fuel Use and Vehicle Distance"),VLOOKUP($M43,INDIRECT("Ref_EF_ByFuel"&amp;"_"&amp;$C43),3,0),
$G43="Vehicle Distance (e.g. Road Transport)",VLOOKUP($H43,INDIRECT("Ref_EF_Vehicle_Distance"&amp;"_"&amp;$C43),3,0),
$G43="Vehicle Distance (e.g. Public or Freight Transport)",VLOOKUP($H43,INDIRECT("Ref_EF_Vehicle_Distance_S3"&amp;"_"&amp;$C43),3,0),
$G43="Custom Vehicle",VLOOKUP($H43,Tbl_vehical_Settings,2,0),
$G43="Custom Fuel",VLOOKUP($M43,Tbl_Fuel_Settings,2,0),
$G43="Weight Distance (e.g. Freight Transport)",VLOOKUP($H43,INDIRECT("Ref_EF_Weight_Distance"&amp;"_"&amp;$C43),3,0),
$G43="Passenger Distance (e.g. Public Transport)",VLOOKUP($H43,INDIRECT("Ref_EF_Public_Transport"&amp;"_"&amp;$C43),3,0)),"")</f>
        <v/>
      </c>
      <c r="AB43" s="31" t="str" cm="1">
        <f t="array" aca="1" ref="AB43" ca="1">IFERROR(_xlfn.IFS(
OR($G43="Fuel Use",$G43="Fuel Use and Vehicle Distance"),VLOOKUP($M43,INDIRECT("Ref_EF_ByFuel"&amp;"_"&amp;$C43),5,0),
$G43="Vehicle Distance (e.g. Road Transport)",VLOOKUP($H43,INDIRECT("Ref_EF_Vehicle_Distance"&amp;"_"&amp;$C43),5,0),
$G43="Vehicle Distance (e.g. Public or Freight Transport)",VLOOKUP($H43,INDIRECT("Ref_EF_Vehicle_Distance_S3"&amp;"_"&amp;$C43),5,0),
$G43="Custom Vehicle",VLOOKUP($H43,Tbl_vehical_Settings,6,0),
$G43="Custom Fuel",VLOOKUP($M43,Tbl_Fuel_Settings,6,0),
$G43="Weight Distance (e.g. Freight Transport)",VLOOKUP($H43,INDIRECT("Ref_EF_Weight_Distance"&amp;"_"&amp;$C43),5,0),
$G43="Passenger Distance (e.g. Public Transport)",VLOOKUP($H43,INDIRECT("Ref_EF_Public_Transport"&amp;"_"&amp;$C43),5,0)),"")</f>
        <v/>
      </c>
      <c r="AC43" s="31" t="str" cm="1">
        <f t="array" aca="1" ref="AC43" ca="1">IFERROR(_xlfn.IFS(
OR($G43="Fuel Use",$G43="Fuel Use and Vehicle Distance"),VLOOKUP($M43,INDIRECT("Ref_EF_ByFuel"&amp;"_"&amp;$C43),6,0),
$G43="Vehicle Distance (e.g. Road Transport)",VLOOKUP($H43,INDIRECT("Ref_EF_Vehicle_Distance"&amp;"_"&amp;$C43),6,0),
$G43="Vehicle Distance (e.g. Public or Freight Transport)",VLOOKUP($H43,INDIRECT("Ref_EF_Vehicle_Distance_S3"&amp;"_"&amp;$C43),6,0),
$G43="Custom Vehicle",VLOOKUP($H43,Tbl_vehical_Settings,7,0),
$G43="Custom Fuel",VLOOKUP($M43,Tbl_Fuel_Settings,7,0),
$G43="Weight Distance (e.g. Freight Transport)",VLOOKUP($H43,INDIRECT("Ref_EF_Weight_Distance"&amp;"_"&amp;$C43),6,0),
$G43="Passenger Distance (e.g. Public Transport)",VLOOKUP($H43,INDIRECT("Ref_EF_Public_Transport"&amp;"_"&amp;$C43),6,0)),"")</f>
        <v/>
      </c>
      <c r="AD43" s="31" t="str" cm="1">
        <f t="array" aca="1" ref="AD43" ca="1">IFERROR(_xlfn.IFS(
OR($G43="Fuel Use",$G43="Fuel Use and Vehicle Distance"),VLOOKUP($M43,INDIRECT("Ref_EF_ByFuel"&amp;"_"&amp;$C43),4,0),
$G43="Vehicle Distance (e.g. Road Transport)",VLOOKUP($H43,INDIRECT("Ref_EF_Vehicle_Distance"&amp;"_"&amp;$C43),4,0),
$G43="Vehicle Distance (e.g. Public or Freight Transport)",VLOOKUP($H43,INDIRECT("Ref_EF_Vehicle_Distance_S3"&amp;"_"&amp;$C43),4,0),
$G43="Custom Vehicle",VLOOKUP($H43,Tbl_vehical_Settings,5,0),
$G43="Custom Fuel",VLOOKUP($M43,Tbl_Fuel_Settings,5,0),
$G43="Weight Distance (e.g. Freight Transport)",VLOOKUP($H43,INDIRECT("Ref_EF_Weight_Distance"&amp;"_"&amp;$C43),4,0),
$G43="Passenger Distance (e.g. Public Transport)",VLOOKUP($H43,INDIRECT("Ref_EF_Public_Transport"&amp;"_"&amp;$C43),4,0)),"")</f>
        <v/>
      </c>
      <c r="AE43" s="31" t="str" cm="1">
        <f t="array" aca="1" ref="AE43" ca="1">IFERROR(_xlfn.IFS(
OR($G43="Fuel Use",$G43="Fuel Use and Vehicle Distance"),VLOOKUP($M43,INDIRECT("Ref_EF_ByFuel"&amp;"_"&amp;$C43),5,0),
$G43="Vehicle Distance (e.g. Road Transport)",VLOOKUP($H43,INDIRECT("Ref_EF_Vehicle_Distance"&amp;"_"&amp;$C43),5,0),
$G43="Vehicle Distance (e.g. Public or Freight Transport)",VLOOKUP($H43,INDIRECT("Ref_EF_Vehicle_Distance_S3"&amp;"_"&amp;$C43),5,0),
$G43="Custom Vehicle",VLOOKUP($H43,Tbl_vehical_Settings,6,0),
$G43="Custom Fuel",VLOOKUP($M43,Tbl_Fuel_Settings,6,0),
$G43="Weight Distance (e.g. Freight Transport)",VLOOKUP($H43,INDIRECT("Ref_EF_Weight_Distance"&amp;"_"&amp;$C43),5,0),
$G43="Passenger Distance (e.g. Public Transport)",VLOOKUP($H43,INDIRECT("Ref_EF_Public_Transport"&amp;"_"&amp;$C43),5,0)),"")</f>
        <v/>
      </c>
      <c r="AF43" s="31" t="str" cm="1">
        <f t="array" aca="1" ref="AF43" ca="1">IFERROR(_xlfn.IFS(
OR($G43="Fuel Use",$G43="Fuel Use and Vehicle Distance"),VLOOKUP($M43,INDIRECT("Ref_EF_ByFuel"&amp;"_"&amp;$C43),6,0),
$G43="Vehicle Distance (e.g. Road Transport)",VLOOKUP($H43,INDIRECT("Ref_EF_Vehicle_Distance"&amp;"_"&amp;$C43),6,0),
$G43="Vehicle Distance (e.g. Public or Freight Transport)",VLOOKUP($H43,INDIRECT("Ref_EF_Vehicle_Distance_S3"&amp;"_"&amp;$C43),6,0),
$G43="Custom Vehicle",VLOOKUP($H43,Tbl_vehical_Settings,7,0),
$G43="Custom Fuel",VLOOKUP($M43,Tbl_Fuel_Settings,7,0),
$G43="Weight Distance (e.g. Freight Transport)",VLOOKUP($H43,INDIRECT("Ref_EF_Weight_Distance"&amp;"_"&amp;$C43),6,0),
$G43="Passenger Distance (e.g. Public Transport)",VLOOKUP($H43,INDIRECT("Ref_EF_Public_Transport"&amp;"_"&amp;$C43),6,0)),"")</f>
        <v/>
      </c>
      <c r="AG43" s="31" t="str" cm="1">
        <f t="array" aca="1" ref="AG43" ca="1">IFERROR(_xlfn.IFS(
AND($G43="Fuel Use",$E43&lt;&gt;"Road"),VLOOKUP($H43,INDIRECT("Ref_EF_ByFuel_CH4"&amp;"_"&amp;$C43),3,0),
$G43="Vehicle Distance (e.g. Road Transport)",VLOOKUP($H43,INDIRECT("Ref_EF_Vehicle_Distance"&amp;"_"&amp;$C43),7,0),
$G43="Vehicle Distance (e.g. Public or Freight Transport)",VLOOKUP($H43,INDIRECT("Ref_EF_Vehicle_Distance_S3"&amp;"_"&amp;$C43),7,0),
$G43="Fuel Use and Vehicle Distance",VLOOKUP($H43,INDIRECT("Ref_EF_Fuel_Vehicle_Distance"&amp;"_"&amp;$C43),3,0),
$G43="Custom Vehicle",VLOOKUP($H43,Tbl_vehical_Settings,3,0),
$G43="Custom Fuel",VLOOKUP($M43,Tbl_Fuel_Settings,3,0),
$G43="Weight Distance (e.g. Freight Transport)",VLOOKUP($H43,INDIRECT("Ref_EF_Weight_Distance_CH4"&amp;"_"&amp;$C43),3,0),
$G43="Passenger Distance (e.g. Public Transport)",VLOOKUP($H43,INDIRECT("Ref_EF_Public_Transport_CH4"&amp;"_"&amp;$C43),7,0)),"")</f>
        <v/>
      </c>
      <c r="AH43" s="31" t="str" cm="1">
        <f t="array" aca="1" ref="AH43" ca="1">IFERROR(_xlfn.IFS(
AND($G43="Fuel Use",$E43&lt;&gt;"Road"),VLOOKUP($H43,INDIRECT("Ref_EF_ByFuel_CH4"&amp;"_"&amp;$C43),4,0),
$G43="Vehicle Distance (e.g. Road Transport)",VLOOKUP($H43,INDIRECT("Ref_EF_Vehicle_Distance"&amp;"_"&amp;$C43),8,0),
$G43="Vehicle Distance (e.g. Public or Freight Transport)",VLOOKUP($H43,INDIRECT("Ref_EF_Vehicle_Distance_S3"&amp;"_"&amp;$C43),8,0),
$G43="Fuel Use and Vehicle Distance",VLOOKUP($H43,INDIRECT("Ref_EF_Fuel_Vehicle_Distance"&amp;"_"&amp;$C43),4,0),
$G43="Custom Vehicle",VLOOKUP($H43,Tbl_vehical_Settings,6,0),
$G43="Custom Fuel",VLOOKUP($M43,Tbl_Fuel_Settings,6,0),
$G43="Weight Distance (e.g. Freight Transport)",VLOOKUP($H43,INDIRECT("Ref_EF_Weight_Distance_CH4"&amp;"_"&amp;$C43),4,0),
$G43="Passenger Distance (e.g. Public Transport)",VLOOKUP($H43,INDIRECT("Ref_EF_Public_Transport_CH4"&amp;"_"&amp;$C43),8,0)),"")</f>
        <v/>
      </c>
      <c r="AI43" s="31" t="str" cm="1">
        <f t="array" aca="1" ref="AI43" ca="1">IFERROR(_xlfn.IFS(
AND($G43="Fuel Use",$E43&lt;&gt;"Road"),VLOOKUP($H43,INDIRECT("Ref_EF_ByFuel_CH4"&amp;"_"&amp;$C43),5,0),
$G43="Vehicle Distance (e.g. Road Transport)",VLOOKUP($H43,INDIRECT("Ref_EF_Vehicle_Distance"&amp;"_"&amp;$C43),9,0),
$G43="Vehicle Distance (e.g. Public or Freight Transport)",VLOOKUP($H43,INDIRECT("Ref_EF_Vehicle_Distance_S3"&amp;"_"&amp;$C43),9,0),
$G43="Fuel Use and Vehicle Distance",VLOOKUP($H43,INDIRECT("Ref_EF_Fuel_Vehicle_Distance"&amp;"_"&amp;$C43),5,0),
$G43="Custom Vehicle",VLOOKUP($H43,Tbl_vehical_Settings,7,0),
$G43="Custom Fuel",VLOOKUP($M43,Tbl_Fuel_Settings,7,0),
$G43="Weight Distance (e.g. Freight Transport)",VLOOKUP($H43,INDIRECT("Ref_EF_Weight_Distance_CH4"&amp;"_"&amp;$C43),5,0),
$G43="Passenger Distance (e.g. Public Transport)",VLOOKUP($H43,INDIRECT("Ref_EF_Public_Transport_CH4"&amp;"_"&amp;$C43),9,0)),"")</f>
        <v/>
      </c>
      <c r="AJ43" s="31" t="str" cm="1">
        <f t="array" aca="1" ref="AJ43" ca="1">IFERROR(_xlfn.IFS(
AND($G43="Fuel Use",$E43&lt;&gt;"Road"),VLOOKUP($H43,INDIRECT("Ref_EF_ByFuel_CH4"&amp;"_"&amp;$C43),6,0),
$G43="Vehicle Distance (e.g. Road Transport)",VLOOKUP($H43,INDIRECT("Ref_EF_Vehicle_Distance"&amp;"_"&amp;$C43),10,0),
$G43="Vehicle Distance (e.g. Public or Freight Transport)",VLOOKUP($H43,INDIRECT("Ref_EF_Vehicle_Distance_S3"&amp;"_"&amp;$C43),10,0),
$G43="Fuel Use and Vehicle Distance",VLOOKUP($H43,INDIRECT("Ref_EF_Fuel_Vehicle_Distance"&amp;"_"&amp;$C43),6,0),
$G43="Custom Vehicle",VLOOKUP($H43,Tbl_vehical_Settings,4,0),
$G43="Custom Fuel",VLOOKUP($M43,Tbl_Fuel_Settings,4,0),
$G43="Weight Distance (e.g. Freight Transport)",VLOOKUP($H43,INDIRECT("Ref_EF_Weight_Distance_CH4"&amp;"_"&amp;$C43),6,0),
$G43="Passenger Distance (e.g. Public Transport)",VLOOKUP($H43,INDIRECT("Ref_EF_Public_Transport_CH4"&amp;"_"&amp;$C43),10,0)),"")</f>
        <v/>
      </c>
      <c r="AK43" s="31" t="str" cm="1">
        <f t="array" aca="1" ref="AK43" ca="1">IFERROR(_xlfn.IFS(
AND($G43="Fuel Use",$E43&lt;&gt;"Road"),VLOOKUP($H43,INDIRECT("Ref_EF_ByFuel_CH4"&amp;"_"&amp;$C43),7,0),
$G43="Vehicle Distance (e.g. Road Transport)",VLOOKUP($H43,INDIRECT("Ref_EF_Vehicle_Distance"&amp;"_"&amp;$C43),11,0),
$G43="Vehicle Distance (e.g. Public or Freight Transport)",VLOOKUP($H43,INDIRECT("Ref_EF_Vehicle_Distance_S3"&amp;"_"&amp;$C43),11,0),
$G43="Fuel Use and Vehicle Distance",VLOOKUP($H43,INDIRECT("Ref_EF_Fuel_Vehicle_Distance"&amp;"_"&amp;$C43),7,0),
$G43="Custom Vehicle",VLOOKUP($H43,Tbl_vehical_Settings,6,0),
$G43="Custom Fuel",VLOOKUP($M43,Tbl_Fuel_Settings,6,0),
$G43="Weight Distance (e.g. Freight Transport)",VLOOKUP($H43,INDIRECT("Ref_EF_Weight_Distance_CH4"&amp;"_"&amp;$C43),7,0),
$G43="Passenger Distance (e.g. Public Transport)",VLOOKUP($H43,INDIRECT("Ref_EF_Public_Transport_CH4"&amp;"_"&amp;$C43),11,0)),"")</f>
        <v/>
      </c>
      <c r="AL43" s="31" t="str" cm="1">
        <f t="array" aca="1" ref="AL43" ca="1">IFERROR(_xlfn.IFS(
AND($G43="Fuel Use",$E43&lt;&gt;"Road"),VLOOKUP($H43,INDIRECT("Ref_EF_ByFuel_CH4"&amp;"_"&amp;$C43),8,0),
$G43="Vehicle Distance (e.g. Road Transport)",VLOOKUP($H43,INDIRECT("Ref_EF_Vehicle_Distance"&amp;"_"&amp;$C43),12,0),
$G43="Vehicle Distance (e.g. Public or Freight Transport)",VLOOKUP($H43,INDIRECT("Ref_EF_Vehicle_Distance_S3"&amp;"_"&amp;$C43),12,0),
$G43="Fuel Use and Vehicle Distance",VLOOKUP($H43,INDIRECT("Ref_EF_Fuel_Vehicle_Distance"&amp;"_"&amp;$C43),8,0),
$G43="Custom Vehicle",VLOOKUP($H43,Tbl_vehical_Settings,7,0),
$G43="Custom Fuel",VLOOKUP($M43,Tbl_Fuel_Settings,7,0),
$G43="Weight Distance (e.g. Freight Transport)",VLOOKUP($H43,INDIRECT("Ref_EF_Weight_Distance_CH4"&amp;"_"&amp;$C43),8,0),
$G43="Passenger Distance (e.g. Public Transport)",VLOOKUP($H43,INDIRECT("Ref_EF_Public_Transport_CH4"&amp;"_"&amp;$C43),12,0)),"")</f>
        <v/>
      </c>
      <c r="AM43" s="31" t="e">
        <f ca="1">INDEX(Ref_Master_Unit_Table,MATCH($AB43,REF_To_Unit,0),MATCH('Reference - Lookup and Unit'!$A$11,Ref_From_Units,0))</f>
        <v>#N/A</v>
      </c>
      <c r="AN43" s="31" t="e">
        <f t="shared" ca="1" si="0"/>
        <v>#N/A</v>
      </c>
      <c r="AO43" s="31" t="e">
        <f ca="1">INDEX(Ref_Master_Unit_Table,MATCH($AE43,REF_To_Unit,0),MATCH('Reference - Lookup and Unit'!$A$11,Ref_From_Units,0))</f>
        <v>#N/A</v>
      </c>
      <c r="AP43" s="31" t="e">
        <f t="shared" ca="1" si="59"/>
        <v>#N/A</v>
      </c>
      <c r="AQ43" s="31" t="e">
        <f ca="1">INDEX(Ref_Master_Unit_Table,MATCH($AH43,REF_To_Unit,0),MATCH('Reference - Lookup and Unit'!$A$11,Ref_From_Units,0))</f>
        <v>#N/A</v>
      </c>
      <c r="AR43" s="31" t="e">
        <f t="shared" ca="1" si="60"/>
        <v>#N/A</v>
      </c>
      <c r="AS43" s="31" t="e">
        <f ca="1">INDEX(Ref_Master_Unit_Table,MATCH($AK43,REF_To_Unit,0),MATCH('Reference - Lookup and Unit'!$A$11,Ref_From_Units,0))</f>
        <v>#N/A</v>
      </c>
      <c r="AT43" s="31" t="e">
        <f t="shared" ca="1" si="61"/>
        <v>#N/A</v>
      </c>
      <c r="AU43" s="31" t="e" cm="1">
        <f t="array" aca="1" ref="AU43"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43" s="31">
        <f t="shared" ca="1" si="48"/>
        <v>27.9</v>
      </c>
      <c r="AW43" s="31">
        <f t="shared" ca="1" si="49"/>
        <v>273</v>
      </c>
      <c r="AX43" s="31" t="e" cm="1">
        <f t="array" aca="1" ref="AX43"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43" s="25" t="e" cm="1">
        <f t="array" ref="AY43">_xlfn.IFS(
AND($E43&lt;&gt;"",$G43="Custom Fuel"),("Settings_Custom_Fuels"),
AND($E43&lt;&gt;"",$G43="Custom vehicle"),("Settings_Custom_Vehicle"),
AND($E43&lt;&gt;"",$G43="Fuel Use"),("Ref_DD_vehicle_FuelUse"&amp;"_"&amp;C43&amp;"_"&amp;E43),
AND($E43&lt;&gt;"",$G43="Fuel Use and Vehicle Distance"),("Ref_DD_Fuel_VehicleDistance"&amp;"_"&amp;C43&amp;"_"&amp;E43),
AND($E43&lt;&gt;"",$G43="Vehicle Distance (e.g. Road Transport)"),("Ref_DD_vehicle_VehicleDistance"&amp;"_"&amp;C43&amp;"_"&amp;E43),
AND($E43&lt;&gt;"",$G43="Weight Distance (e.g. Freight Transport)"),("Ref_DD_vehicle_WeightDistance"&amp;"_"&amp;C43&amp;"_"&amp;E43),
AND($E43&lt;&gt;"",$G43="Vehicle Distance (e.g. Public or Freight Transport)"),("Ref_DD_vehicle_DistanceS3"&amp;"_"&amp;C43),
AND($E43&lt;&gt;"",$G43="Passenger Distance (e.g. Public Transport)"),("Ref_DD_vehicle_Passenger"&amp;"_"&amp;C43&amp;"_"&amp;E43),
AND($E43="",$G43="Fuel Use"),("Ref_DD_vehicle_FuelUse"&amp;"_"&amp;C43),
AND($E43="",OR($G43="Vehicle Distance (e.g. Road Transport)",$G43="Fuel Use and Vehicle Distance")),("Ref_DD_vehicle_VehicleDistance"&amp;"_"&amp;C43),
AND($E43="",$G43="Weight Distance (e.g. Freight Transport)"),("Ref_DD_vehicle_WeightDistance"&amp;"_"&amp;C43),
AND($E43="",$G43="Vehicle Distance (e.g. Public or Freight Transport)"),("Ref_DD_vehicle_DistanceS3"&amp;"_"&amp;C43),
AND($E43="",$G43="Passenger Distance (e.g. Public Transport)"),("Ref_DD_vehicle_Passenger"&amp;"_"&amp;C43))</f>
        <v>#N/A</v>
      </c>
      <c r="AZ43" s="25" t="b">
        <f t="shared" ca="1" si="4"/>
        <v>0</v>
      </c>
      <c r="BA43" s="25" t="str">
        <f t="shared" si="5"/>
        <v/>
      </c>
      <c r="BB43" s="25" t="str">
        <f t="shared" si="6"/>
        <v/>
      </c>
      <c r="BC43" s="25" t="str">
        <f t="shared" si="50"/>
        <v/>
      </c>
      <c r="BD43" s="25" t="str">
        <f t="shared" si="51"/>
        <v/>
      </c>
      <c r="BE43" s="25" t="str">
        <f t="shared" si="52"/>
        <v/>
      </c>
      <c r="BF43" s="25" t="str">
        <f t="shared" si="53"/>
        <v/>
      </c>
      <c r="BG43" s="25" t="str">
        <f t="shared" si="7"/>
        <v/>
      </c>
      <c r="BH43" s="25" t="str">
        <f t="shared" si="8"/>
        <v/>
      </c>
      <c r="BI43" s="25" t="str">
        <f t="shared" si="54"/>
        <v/>
      </c>
      <c r="BJ43" s="25" t="str">
        <f t="shared" si="55"/>
        <v/>
      </c>
      <c r="BK43" s="25" t="str">
        <f t="shared" si="56"/>
        <v/>
      </c>
      <c r="BL43" s="25" t="str">
        <f t="shared" si="57"/>
        <v/>
      </c>
      <c r="BM43" s="25" t="str">
        <f t="shared" si="9"/>
        <v/>
      </c>
      <c r="BN43" s="25" t="str">
        <f t="shared" ca="1" si="10"/>
        <v/>
      </c>
      <c r="BO43" s="25" t="str">
        <f t="shared" si="11"/>
        <v/>
      </c>
      <c r="BP43" s="25" t="str">
        <f t="shared" si="12"/>
        <v/>
      </c>
      <c r="BQ43" s="25" t="str">
        <f t="shared" si="13"/>
        <v/>
      </c>
      <c r="BR43" s="25" t="str">
        <f t="shared" si="14"/>
        <v/>
      </c>
      <c r="BS43" s="25" t="str">
        <f t="shared" si="15"/>
        <v/>
      </c>
      <c r="BT43" s="25" t="str">
        <f t="shared" si="16"/>
        <v/>
      </c>
      <c r="BU43" s="25" t="str">
        <f t="shared" si="17"/>
        <v/>
      </c>
      <c r="BV43" s="25" t="str">
        <f t="shared" si="18"/>
        <v/>
      </c>
      <c r="BW43" s="25" t="str">
        <f t="shared" si="19"/>
        <v/>
      </c>
      <c r="BX43" s="25" t="str">
        <f t="shared" si="20"/>
        <v/>
      </c>
      <c r="BY43" s="25" t="str">
        <f t="shared" si="21"/>
        <v/>
      </c>
      <c r="BZ43" s="25" t="str">
        <f t="shared" si="22"/>
        <v/>
      </c>
      <c r="CA43" s="25" t="str">
        <f t="shared" si="23"/>
        <v/>
      </c>
      <c r="CB43" s="25" t="str">
        <f t="shared" si="24"/>
        <v/>
      </c>
      <c r="CC43" s="25" t="str">
        <f t="shared" si="25"/>
        <v/>
      </c>
      <c r="CD43" s="25" t="str">
        <f t="shared" si="26"/>
        <v/>
      </c>
      <c r="CE43" s="25" t="str">
        <f t="shared" si="27"/>
        <v/>
      </c>
      <c r="CF43" s="25" t="str">
        <f t="shared" si="28"/>
        <v/>
      </c>
      <c r="CG43" s="25" t="str">
        <f t="shared" si="29"/>
        <v/>
      </c>
      <c r="CH43" s="25" t="str">
        <f t="shared" si="30"/>
        <v/>
      </c>
      <c r="CI43" s="25" t="str">
        <f t="shared" si="31"/>
        <v/>
      </c>
      <c r="CJ43" s="25" t="str">
        <f t="shared" si="32"/>
        <v/>
      </c>
      <c r="CK43" s="25" t="str">
        <f t="shared" si="33"/>
        <v/>
      </c>
      <c r="CL43" s="25" t="str">
        <f t="shared" si="34"/>
        <v/>
      </c>
      <c r="CM43" s="25" t="str">
        <f t="shared" si="35"/>
        <v/>
      </c>
      <c r="CN43" s="25" t="str">
        <f t="shared" si="36"/>
        <v/>
      </c>
      <c r="CO43" s="25" t="str">
        <f t="shared" si="37"/>
        <v/>
      </c>
      <c r="CP43" s="25" t="str">
        <f t="shared" si="38"/>
        <v/>
      </c>
      <c r="CQ43" s="25" t="str">
        <f t="shared" si="39"/>
        <v/>
      </c>
      <c r="CR43" s="25" t="str">
        <f t="shared" si="40"/>
        <v/>
      </c>
      <c r="CS43" s="25" t="str">
        <f t="shared" si="41"/>
        <v/>
      </c>
      <c r="CT43" s="25" t="str">
        <f t="shared" si="42"/>
        <v/>
      </c>
      <c r="CU43" s="25" t="str">
        <f t="shared" si="43"/>
        <v/>
      </c>
      <c r="CV43" s="25" t="str">
        <f t="shared" si="44"/>
        <v/>
      </c>
      <c r="CW43" s="25" t="str">
        <f t="shared" si="45"/>
        <v/>
      </c>
      <c r="CX43" s="25" t="str" cm="1">
        <f t="array" ref="CX43">_xlfn.IFNA(_xlfn.IFS(
$G43="Weight Distance (e.g. Freight Transport)","Ref_DD_WeightDistanceUnits",
$G43="Passenger Distance (e.g. Public Transport)","Ref_DD_PasengerDistanceUnits",
$G43="Vehicle Distance (e.g. Road Transport)", "Ref_DD_DistanceUnit",
$G43="Vehicle Distance (e.g. Public or Freight Transport)","Ref_DD_DistanceUnit",
$G43="Fuel Use and Vehicle Distance", "Ref_DD_DistanceUnit",
$G43="Custom Vehicle",VLOOKUP($H43,'2. Settings'!$B$39:$I$54,8,FALSE)),"")</f>
        <v/>
      </c>
      <c r="CY43" s="27" t="str">
        <f ca="1">IF(AND(ISERROR(#REF!*$AU43)=TRUE,ISERROR((S43/1000)*$AV43)=TRUE,ISERROR((T43/1000)*$AW43)=FALSE),((T43/1000)*$AW43),"")</f>
        <v/>
      </c>
      <c r="CZ43" s="27" cm="1">
        <f t="array" ref="CZ43">IFERROR(_xlfn.IFS(
AND($G43="Custom vehicle",OR($J43="Passenger Mile",$J43="Passenger Kilometer")),"Passenger Distance (e.g. Public Transport)",
AND($G43="Custom vehicle",OR($J43="Tonne Mile",$J43="Tonne Kilometer",$J43="Short Ton Kilometer",$J43="Short Ton Mile")),"Weight Distance (e.g. Freight Transport)",
AND($G43="Custom vehicle",OR($J43="Mile",$J43="Kilometer")),"Vehicle Distance (e.g. Road Transport)",
$G43&lt;&gt;"Custom vehicle",$G43),"")</f>
        <v>0</v>
      </c>
      <c r="DA43" s="27" t="str" cm="1">
        <f t="array" ref="DA43">IFERROR(_xlfn.IFS(OR(J43="Tonne Kilometer",J43="Tonne Mile",J43="Short Ton Mile",J43="Short Ton Kilometer"),I43*K43,OR(J43="Passenger Kilometer",J43="Passenger Mile"),I43*L43,OR(J43="Kilometer",J43="Mile"),$I43),"")</f>
        <v/>
      </c>
    </row>
    <row r="44" spans="2:105" x14ac:dyDescent="0.25">
      <c r="B44" s="244"/>
      <c r="C44" s="71" t="str" cm="1">
        <f t="array" ref="C44">IFERROR(_xlfn.IFS($D44="Other", D44&amp;"_" &amp;Ref_Other_to,OR($D44="UK", $D44="US"),$D44),"")</f>
        <v/>
      </c>
      <c r="D44" s="71"/>
      <c r="E44" s="71"/>
      <c r="F44" s="71"/>
      <c r="G44" s="72"/>
      <c r="H44" s="72"/>
      <c r="I44" s="73"/>
      <c r="J44" s="73"/>
      <c r="K44" s="73"/>
      <c r="L44" s="73"/>
      <c r="M44" s="74"/>
      <c r="N44" s="75"/>
      <c r="O44" s="71"/>
      <c r="P44" s="165" t="str">
        <f t="shared" si="58"/>
        <v/>
      </c>
      <c r="Q44" s="166" t="str">
        <f t="shared" si="46"/>
        <v/>
      </c>
      <c r="R44" s="76" t="str" cm="1">
        <f t="array" aca="1" ref="R44" ca="1">IFERROR(_xlfn.IFS(
AND(AA44&gt;0, OR($G44="Fuel Use",$G44="Custom Fuel")),$N44*$AA44*$AM44*$AN44,
AND(AA44&gt;0,$CZ44="Vehicle Distance (e.g. Road Transport)"),$I44*$AA44*$AM44*$AN44,
AND(AA44&gt;0,$CZ44="Vehicle Distance (e.g. Public or Freight Transport)"),$I44*$AA44*$AM44*$AN44,
AND(AA44&gt;0,$CZ44="Fuel Use and Vehicle Distance"),$N44*$AA44*$AM44*$AN44,
AND(AA44&gt;0,$CZ44="Passenger Distance (e.g. Public Transport)"),$DA44*$AA44*$AM44*$AN44,
AND(AA44&gt;0,$CZ44="Weight Distance (e.g. Freight Transport)"),$DA44*$AA44*$AM44*$AN44),"")</f>
        <v/>
      </c>
      <c r="S44" s="77" t="str" cm="1">
        <f t="array" aca="1" ref="S44" ca="1">IFERROR(_xlfn.IFS(
AND(AG44&gt;-1, $G44="Fuel Use and Vehicle Distance"),$I44*$AG44*$AQ44*$AR44,
AND(AG44&gt;-1, $G44="Vehicle Distance (e.g. Road Transport)"),$I44*$AG44*$AQ44*$AR44,
AND(AG44&gt;-1, $CZ44="Vehicle Distance (e.g. Public or Freight Transport)"),$I44*$AG44*$AQ44*$AR44,
AND(AG44&gt;-1, OR($G44="Fuel Use",$G44="Custom Fuel")), $N44*$AG44*$AQ44*$AR44*1000,
AND(AG44&gt;-1, $G44="Custom Vehicle"),$DA44*$AG44*$AQ44*$AR44*1000,
AND(AG44&gt;-1, AND($G44&lt;&gt;"Custom Vehicle",$CZ44="Weight Distance (e.g. Freight Transport)")),$DA44*$AG44*$AQ44*$AR44*1000,
AND(AG44&gt;-1, AND($G44&lt;&gt;"Custom Vehicle",$CZ44="Passenger Distance (e.g. Public Transport)")), $DA44*$AG44*$AQ44*$AR44*1000),"")</f>
        <v/>
      </c>
      <c r="T44" s="77" t="str" cm="1">
        <f t="array" aca="1" ref="T44" ca="1">IFERROR(_xlfn.IFS(
AND(AJ44&gt;0,$G44="Fuel Use and Vehicle Distance"),$I44*$AJ44*$AS44*$AT44,
AND(AJ44&gt;0,$G44="Vehicle Distance (e.g. Road Transport)"),$I44*$AJ44*$AS44*$AT44,
AND(AJ44&gt;0,$G44="Vehicle Distance (e.g. Public or Freight Transport)"),$I44*$AJ44*$AS44*$AT44,
AND(AJ44&gt;0,OR($G44="Fuel Use",$G44="Custom Fuel")), $N44*$AJ44*$AS44*$AT44*1000,
AND(AJ44&gt;0,$G44="Custom Vehicle"),$DA44*$AJ44*$AS44*$AT44*1000,
AND(AJ44&gt;0,AND($G44&lt;&gt;"Custom Vehicle",$CZ44="Weight Distance (e.g. Freight Transport)")),$DA44*$AJ44*$AS44*$AT44*1000,
AND(AJ44&gt;0,AND($G44&lt;&gt;"Custom Vehicle",$CZ44="Passenger Distance (e.g. Public Transport)")), $DA44*$AJ44*$AS44*$AT44*1000),"")</f>
        <v/>
      </c>
      <c r="U44" s="78" t="str">
        <f t="shared" ca="1" si="47"/>
        <v/>
      </c>
      <c r="V44" s="161" t="str" cm="1">
        <f t="array" aca="1" ref="V44" ca="1">IFERROR(_xlfn.IFS(
AND(AD44&gt;0,OR($CZ44="Fuel Use",$CZ44="Custom Fuel",$CZ44="Fuel Use and Vehicle Distance")),($N44*$AD44*$AO44*$AP44),
AND(AD44&gt;0,$G44="Custom Vehicle"),$DA44*$AD44*$AO44*$AP44,
AND(AD44&gt;0,$CZ44="Vehicle Distance (e.g. Public or Freight Transport)"),$I44*$AD44*$AM44*$AN44,
AND(AD44&gt;0,$CZ44="Weight Distance (e.g. Freight Transport)"),($I44*$K44*$AD44*$AO44*$AP44),
AND(AD44&gt;0,$CZ44="Passenger Distance (e.g. Public Transport)"),$I44*$L44*$AD44*$AO44*$AP44,
AND(AD44&gt;0,$CZ44="Vehicle Distance (e.g. Road Transport)"),($I44*$AD44*$AO44*$AP44)),"")</f>
        <v/>
      </c>
      <c r="W44" s="164" t="str" cm="1">
        <f t="array" aca="1" ref="W44" ca="1">IFERROR(_xlfn.IFS(AND(ISNUMBER(R44),AA44=0),AA44&amp;" "&amp;"("&amp;AB44&amp;" CO2/"&amp;AC44&amp;")",AND(ISNUMBER(R44),AA44&gt;0),ROUND(AA44,INT(3-LOG(AA44)))&amp;" "&amp;"("&amp;AB44&amp;" CO2/"&amp;AC44&amp;")"),"")</f>
        <v/>
      </c>
      <c r="X44" s="164" t="str" cm="1">
        <f t="array" aca="1" ref="X44" ca="1">IFERROR(_xlfn.IFS(AND(ISNUMBER(S44), AG44=0),AG44&amp;" "&amp;"("&amp;AH44&amp;" CH4/"&amp;AI44&amp;")",AND(ISNUMBER(S44), AG44&gt;0),ROUND(AG44,INT(3-LOG(AG44)))&amp;" "&amp;"("&amp;AH44&amp;" CH4/"&amp;AI44&amp;")"),"")</f>
        <v/>
      </c>
      <c r="Y44" s="164" t="str" cm="1">
        <f t="array" aca="1" ref="Y44" ca="1">IFERROR(_xlfn.IFS(AND(ISNUMBER(T44), AJ44=0),AJ44&amp;" "&amp;"("&amp;AK44&amp;" CH4/"&amp;AL44&amp;")",AND(ISNUMBER(T44), AJ44&gt;0),ROUND(AJ44,INT(3-LOG(AJ44)))&amp;" "&amp;"("&amp;AK44&amp;" N2O/"&amp;AL44&amp;")"),"")</f>
        <v/>
      </c>
      <c r="Z44" s="245" t="str" cm="1">
        <f t="array" aca="1" ref="Z44" ca="1">IFERROR(_xlfn.IFS(AND(ISNUMBER(V44),AD44=0),AD44&amp;" "&amp;"("&amp;AE44&amp;" CO2/"&amp;AF44&amp;")",AND(ISNUMBER(V44),AD44&gt;0),ROUND(AD44,INT(3-LOG(AD44)))&amp;" "&amp;"("&amp;AE44&amp;" CO2/"&amp;AF44&amp;")"),"")</f>
        <v/>
      </c>
      <c r="AA44" s="240" t="str" cm="1">
        <f t="array" aca="1" ref="AA44" ca="1">IFERROR(_xlfn.IFS(
OR($G44="Fuel Use",$G44="Fuel Use and Vehicle Distance"),VLOOKUP($M44,INDIRECT("Ref_EF_ByFuel"&amp;"_"&amp;$C44),3,0),
$G44="Vehicle Distance (e.g. Road Transport)",VLOOKUP($H44,INDIRECT("Ref_EF_Vehicle_Distance"&amp;"_"&amp;$C44),3,0),
$G44="Vehicle Distance (e.g. Public or Freight Transport)",VLOOKUP($H44,INDIRECT("Ref_EF_Vehicle_Distance_S3"&amp;"_"&amp;$C44),3,0),
$G44="Custom Vehicle",VLOOKUP($H44,Tbl_vehical_Settings,2,0),
$G44="Custom Fuel",VLOOKUP($M44,Tbl_Fuel_Settings,2,0),
$G44="Weight Distance (e.g. Freight Transport)",VLOOKUP($H44,INDIRECT("Ref_EF_Weight_Distance"&amp;"_"&amp;$C44),3,0),
$G44="Passenger Distance (e.g. Public Transport)",VLOOKUP($H44,INDIRECT("Ref_EF_Public_Transport"&amp;"_"&amp;$C44),3,0)),"")</f>
        <v/>
      </c>
      <c r="AB44" s="31" t="str" cm="1">
        <f t="array" aca="1" ref="AB44" ca="1">IFERROR(_xlfn.IFS(
OR($G44="Fuel Use",$G44="Fuel Use and Vehicle Distance"),VLOOKUP($M44,INDIRECT("Ref_EF_ByFuel"&amp;"_"&amp;$C44),5,0),
$G44="Vehicle Distance (e.g. Road Transport)",VLOOKUP($H44,INDIRECT("Ref_EF_Vehicle_Distance"&amp;"_"&amp;$C44),5,0),
$G44="Vehicle Distance (e.g. Public or Freight Transport)",VLOOKUP($H44,INDIRECT("Ref_EF_Vehicle_Distance_S3"&amp;"_"&amp;$C44),5,0),
$G44="Custom Vehicle",VLOOKUP($H44,Tbl_vehical_Settings,6,0),
$G44="Custom Fuel",VLOOKUP($M44,Tbl_Fuel_Settings,6,0),
$G44="Weight Distance (e.g. Freight Transport)",VLOOKUP($H44,INDIRECT("Ref_EF_Weight_Distance"&amp;"_"&amp;$C44),5,0),
$G44="Passenger Distance (e.g. Public Transport)",VLOOKUP($H44,INDIRECT("Ref_EF_Public_Transport"&amp;"_"&amp;$C44),5,0)),"")</f>
        <v/>
      </c>
      <c r="AC44" s="31" t="str" cm="1">
        <f t="array" aca="1" ref="AC44" ca="1">IFERROR(_xlfn.IFS(
OR($G44="Fuel Use",$G44="Fuel Use and Vehicle Distance"),VLOOKUP($M44,INDIRECT("Ref_EF_ByFuel"&amp;"_"&amp;$C44),6,0),
$G44="Vehicle Distance (e.g. Road Transport)",VLOOKUP($H44,INDIRECT("Ref_EF_Vehicle_Distance"&amp;"_"&amp;$C44),6,0),
$G44="Vehicle Distance (e.g. Public or Freight Transport)",VLOOKUP($H44,INDIRECT("Ref_EF_Vehicle_Distance_S3"&amp;"_"&amp;$C44),6,0),
$G44="Custom Vehicle",VLOOKUP($H44,Tbl_vehical_Settings,7,0),
$G44="Custom Fuel",VLOOKUP($M44,Tbl_Fuel_Settings,7,0),
$G44="Weight Distance (e.g. Freight Transport)",VLOOKUP($H44,INDIRECT("Ref_EF_Weight_Distance"&amp;"_"&amp;$C44),6,0),
$G44="Passenger Distance (e.g. Public Transport)",VLOOKUP($H44,INDIRECT("Ref_EF_Public_Transport"&amp;"_"&amp;$C44),6,0)),"")</f>
        <v/>
      </c>
      <c r="AD44" s="31" t="str" cm="1">
        <f t="array" aca="1" ref="AD44" ca="1">IFERROR(_xlfn.IFS(
OR($G44="Fuel Use",$G44="Fuel Use and Vehicle Distance"),VLOOKUP($M44,INDIRECT("Ref_EF_ByFuel"&amp;"_"&amp;$C44),4,0),
$G44="Vehicle Distance (e.g. Road Transport)",VLOOKUP($H44,INDIRECT("Ref_EF_Vehicle_Distance"&amp;"_"&amp;$C44),4,0),
$G44="Vehicle Distance (e.g. Public or Freight Transport)",VLOOKUP($H44,INDIRECT("Ref_EF_Vehicle_Distance_S3"&amp;"_"&amp;$C44),4,0),
$G44="Custom Vehicle",VLOOKUP($H44,Tbl_vehical_Settings,5,0),
$G44="Custom Fuel",VLOOKUP($M44,Tbl_Fuel_Settings,5,0),
$G44="Weight Distance (e.g. Freight Transport)",VLOOKUP($H44,INDIRECT("Ref_EF_Weight_Distance"&amp;"_"&amp;$C44),4,0),
$G44="Passenger Distance (e.g. Public Transport)",VLOOKUP($H44,INDIRECT("Ref_EF_Public_Transport"&amp;"_"&amp;$C44),4,0)),"")</f>
        <v/>
      </c>
      <c r="AE44" s="31" t="str" cm="1">
        <f t="array" aca="1" ref="AE44" ca="1">IFERROR(_xlfn.IFS(
OR($G44="Fuel Use",$G44="Fuel Use and Vehicle Distance"),VLOOKUP($M44,INDIRECT("Ref_EF_ByFuel"&amp;"_"&amp;$C44),5,0),
$G44="Vehicle Distance (e.g. Road Transport)",VLOOKUP($H44,INDIRECT("Ref_EF_Vehicle_Distance"&amp;"_"&amp;$C44),5,0),
$G44="Vehicle Distance (e.g. Public or Freight Transport)",VLOOKUP($H44,INDIRECT("Ref_EF_Vehicle_Distance_S3"&amp;"_"&amp;$C44),5,0),
$G44="Custom Vehicle",VLOOKUP($H44,Tbl_vehical_Settings,6,0),
$G44="Custom Fuel",VLOOKUP($M44,Tbl_Fuel_Settings,6,0),
$G44="Weight Distance (e.g. Freight Transport)",VLOOKUP($H44,INDIRECT("Ref_EF_Weight_Distance"&amp;"_"&amp;$C44),5,0),
$G44="Passenger Distance (e.g. Public Transport)",VLOOKUP($H44,INDIRECT("Ref_EF_Public_Transport"&amp;"_"&amp;$C44),5,0)),"")</f>
        <v/>
      </c>
      <c r="AF44" s="31" t="str" cm="1">
        <f t="array" aca="1" ref="AF44" ca="1">IFERROR(_xlfn.IFS(
OR($G44="Fuel Use",$G44="Fuel Use and Vehicle Distance"),VLOOKUP($M44,INDIRECT("Ref_EF_ByFuel"&amp;"_"&amp;$C44),6,0),
$G44="Vehicle Distance (e.g. Road Transport)",VLOOKUP($H44,INDIRECT("Ref_EF_Vehicle_Distance"&amp;"_"&amp;$C44),6,0),
$G44="Vehicle Distance (e.g. Public or Freight Transport)",VLOOKUP($H44,INDIRECT("Ref_EF_Vehicle_Distance_S3"&amp;"_"&amp;$C44),6,0),
$G44="Custom Vehicle",VLOOKUP($H44,Tbl_vehical_Settings,7,0),
$G44="Custom Fuel",VLOOKUP($M44,Tbl_Fuel_Settings,7,0),
$G44="Weight Distance (e.g. Freight Transport)",VLOOKUP($H44,INDIRECT("Ref_EF_Weight_Distance"&amp;"_"&amp;$C44),6,0),
$G44="Passenger Distance (e.g. Public Transport)",VLOOKUP($H44,INDIRECT("Ref_EF_Public_Transport"&amp;"_"&amp;$C44),6,0)),"")</f>
        <v/>
      </c>
      <c r="AG44" s="31" t="str" cm="1">
        <f t="array" aca="1" ref="AG44" ca="1">IFERROR(_xlfn.IFS(
AND($G44="Fuel Use",$E44&lt;&gt;"Road"),VLOOKUP($H44,INDIRECT("Ref_EF_ByFuel_CH4"&amp;"_"&amp;$C44),3,0),
$G44="Vehicle Distance (e.g. Road Transport)",VLOOKUP($H44,INDIRECT("Ref_EF_Vehicle_Distance"&amp;"_"&amp;$C44),7,0),
$G44="Vehicle Distance (e.g. Public or Freight Transport)",VLOOKUP($H44,INDIRECT("Ref_EF_Vehicle_Distance_S3"&amp;"_"&amp;$C44),7,0),
$G44="Fuel Use and Vehicle Distance",VLOOKUP($H44,INDIRECT("Ref_EF_Fuel_Vehicle_Distance"&amp;"_"&amp;$C44),3,0),
$G44="Custom Vehicle",VLOOKUP($H44,Tbl_vehical_Settings,3,0),
$G44="Custom Fuel",VLOOKUP($M44,Tbl_Fuel_Settings,3,0),
$G44="Weight Distance (e.g. Freight Transport)",VLOOKUP($H44,INDIRECT("Ref_EF_Weight_Distance_CH4"&amp;"_"&amp;$C44),3,0),
$G44="Passenger Distance (e.g. Public Transport)",VLOOKUP($H44,INDIRECT("Ref_EF_Public_Transport_CH4"&amp;"_"&amp;$C44),7,0)),"")</f>
        <v/>
      </c>
      <c r="AH44" s="31" t="str" cm="1">
        <f t="array" aca="1" ref="AH44" ca="1">IFERROR(_xlfn.IFS(
AND($G44="Fuel Use",$E44&lt;&gt;"Road"),VLOOKUP($H44,INDIRECT("Ref_EF_ByFuel_CH4"&amp;"_"&amp;$C44),4,0),
$G44="Vehicle Distance (e.g. Road Transport)",VLOOKUP($H44,INDIRECT("Ref_EF_Vehicle_Distance"&amp;"_"&amp;$C44),8,0),
$G44="Vehicle Distance (e.g. Public or Freight Transport)",VLOOKUP($H44,INDIRECT("Ref_EF_Vehicle_Distance_S3"&amp;"_"&amp;$C44),8,0),
$G44="Fuel Use and Vehicle Distance",VLOOKUP($H44,INDIRECT("Ref_EF_Fuel_Vehicle_Distance"&amp;"_"&amp;$C44),4,0),
$G44="Custom Vehicle",VLOOKUP($H44,Tbl_vehical_Settings,6,0),
$G44="Custom Fuel",VLOOKUP($M44,Tbl_Fuel_Settings,6,0),
$G44="Weight Distance (e.g. Freight Transport)",VLOOKUP($H44,INDIRECT("Ref_EF_Weight_Distance_CH4"&amp;"_"&amp;$C44),4,0),
$G44="Passenger Distance (e.g. Public Transport)",VLOOKUP($H44,INDIRECT("Ref_EF_Public_Transport_CH4"&amp;"_"&amp;$C44),8,0)),"")</f>
        <v/>
      </c>
      <c r="AI44" s="31" t="str" cm="1">
        <f t="array" aca="1" ref="AI44" ca="1">IFERROR(_xlfn.IFS(
AND($G44="Fuel Use",$E44&lt;&gt;"Road"),VLOOKUP($H44,INDIRECT("Ref_EF_ByFuel_CH4"&amp;"_"&amp;$C44),5,0),
$G44="Vehicle Distance (e.g. Road Transport)",VLOOKUP($H44,INDIRECT("Ref_EF_Vehicle_Distance"&amp;"_"&amp;$C44),9,0),
$G44="Vehicle Distance (e.g. Public or Freight Transport)",VLOOKUP($H44,INDIRECT("Ref_EF_Vehicle_Distance_S3"&amp;"_"&amp;$C44),9,0),
$G44="Fuel Use and Vehicle Distance",VLOOKUP($H44,INDIRECT("Ref_EF_Fuel_Vehicle_Distance"&amp;"_"&amp;$C44),5,0),
$G44="Custom Vehicle",VLOOKUP($H44,Tbl_vehical_Settings,7,0),
$G44="Custom Fuel",VLOOKUP($M44,Tbl_Fuel_Settings,7,0),
$G44="Weight Distance (e.g. Freight Transport)",VLOOKUP($H44,INDIRECT("Ref_EF_Weight_Distance_CH4"&amp;"_"&amp;$C44),5,0),
$G44="Passenger Distance (e.g. Public Transport)",VLOOKUP($H44,INDIRECT("Ref_EF_Public_Transport_CH4"&amp;"_"&amp;$C44),9,0)),"")</f>
        <v/>
      </c>
      <c r="AJ44" s="31" t="str" cm="1">
        <f t="array" aca="1" ref="AJ44" ca="1">IFERROR(_xlfn.IFS(
AND($G44="Fuel Use",$E44&lt;&gt;"Road"),VLOOKUP($H44,INDIRECT("Ref_EF_ByFuel_CH4"&amp;"_"&amp;$C44),6,0),
$G44="Vehicle Distance (e.g. Road Transport)",VLOOKUP($H44,INDIRECT("Ref_EF_Vehicle_Distance"&amp;"_"&amp;$C44),10,0),
$G44="Vehicle Distance (e.g. Public or Freight Transport)",VLOOKUP($H44,INDIRECT("Ref_EF_Vehicle_Distance_S3"&amp;"_"&amp;$C44),10,0),
$G44="Fuel Use and Vehicle Distance",VLOOKUP($H44,INDIRECT("Ref_EF_Fuel_Vehicle_Distance"&amp;"_"&amp;$C44),6,0),
$G44="Custom Vehicle",VLOOKUP($H44,Tbl_vehical_Settings,4,0),
$G44="Custom Fuel",VLOOKUP($M44,Tbl_Fuel_Settings,4,0),
$G44="Weight Distance (e.g. Freight Transport)",VLOOKUP($H44,INDIRECT("Ref_EF_Weight_Distance_CH4"&amp;"_"&amp;$C44),6,0),
$G44="Passenger Distance (e.g. Public Transport)",VLOOKUP($H44,INDIRECT("Ref_EF_Public_Transport_CH4"&amp;"_"&amp;$C44),10,0)),"")</f>
        <v/>
      </c>
      <c r="AK44" s="31" t="str" cm="1">
        <f t="array" aca="1" ref="AK44" ca="1">IFERROR(_xlfn.IFS(
AND($G44="Fuel Use",$E44&lt;&gt;"Road"),VLOOKUP($H44,INDIRECT("Ref_EF_ByFuel_CH4"&amp;"_"&amp;$C44),7,0),
$G44="Vehicle Distance (e.g. Road Transport)",VLOOKUP($H44,INDIRECT("Ref_EF_Vehicle_Distance"&amp;"_"&amp;$C44),11,0),
$G44="Vehicle Distance (e.g. Public or Freight Transport)",VLOOKUP($H44,INDIRECT("Ref_EF_Vehicle_Distance_S3"&amp;"_"&amp;$C44),11,0),
$G44="Fuel Use and Vehicle Distance",VLOOKUP($H44,INDIRECT("Ref_EF_Fuel_Vehicle_Distance"&amp;"_"&amp;$C44),7,0),
$G44="Custom Vehicle",VLOOKUP($H44,Tbl_vehical_Settings,6,0),
$G44="Custom Fuel",VLOOKUP($M44,Tbl_Fuel_Settings,6,0),
$G44="Weight Distance (e.g. Freight Transport)",VLOOKUP($H44,INDIRECT("Ref_EF_Weight_Distance_CH4"&amp;"_"&amp;$C44),7,0),
$G44="Passenger Distance (e.g. Public Transport)",VLOOKUP($H44,INDIRECT("Ref_EF_Public_Transport_CH4"&amp;"_"&amp;$C44),11,0)),"")</f>
        <v/>
      </c>
      <c r="AL44" s="31" t="str" cm="1">
        <f t="array" aca="1" ref="AL44" ca="1">IFERROR(_xlfn.IFS(
AND($G44="Fuel Use",$E44&lt;&gt;"Road"),VLOOKUP($H44,INDIRECT("Ref_EF_ByFuel_CH4"&amp;"_"&amp;$C44),8,0),
$G44="Vehicle Distance (e.g. Road Transport)",VLOOKUP($H44,INDIRECT("Ref_EF_Vehicle_Distance"&amp;"_"&amp;$C44),12,0),
$G44="Vehicle Distance (e.g. Public or Freight Transport)",VLOOKUP($H44,INDIRECT("Ref_EF_Vehicle_Distance_S3"&amp;"_"&amp;$C44),12,0),
$G44="Fuel Use and Vehicle Distance",VLOOKUP($H44,INDIRECT("Ref_EF_Fuel_Vehicle_Distance"&amp;"_"&amp;$C44),8,0),
$G44="Custom Vehicle",VLOOKUP($H44,Tbl_vehical_Settings,7,0),
$G44="Custom Fuel",VLOOKUP($M44,Tbl_Fuel_Settings,7,0),
$G44="Weight Distance (e.g. Freight Transport)",VLOOKUP($H44,INDIRECT("Ref_EF_Weight_Distance_CH4"&amp;"_"&amp;$C44),8,0),
$G44="Passenger Distance (e.g. Public Transport)",VLOOKUP($H44,INDIRECT("Ref_EF_Public_Transport_CH4"&amp;"_"&amp;$C44),12,0)),"")</f>
        <v/>
      </c>
      <c r="AM44" s="31" t="e">
        <f ca="1">INDEX(Ref_Master_Unit_Table,MATCH($AB44,REF_To_Unit,0),MATCH('Reference - Lookup and Unit'!$A$11,Ref_From_Units,0))</f>
        <v>#N/A</v>
      </c>
      <c r="AN44" s="31" t="e">
        <f t="shared" ca="1" si="0"/>
        <v>#N/A</v>
      </c>
      <c r="AO44" s="31" t="e">
        <f ca="1">INDEX(Ref_Master_Unit_Table,MATCH($AE44,REF_To_Unit,0),MATCH('Reference - Lookup and Unit'!$A$11,Ref_From_Units,0))</f>
        <v>#N/A</v>
      </c>
      <c r="AP44" s="31" t="e">
        <f t="shared" ca="1" si="59"/>
        <v>#N/A</v>
      </c>
      <c r="AQ44" s="31" t="e">
        <f ca="1">INDEX(Ref_Master_Unit_Table,MATCH($AH44,REF_To_Unit,0),MATCH('Reference - Lookup and Unit'!$A$11,Ref_From_Units,0))</f>
        <v>#N/A</v>
      </c>
      <c r="AR44" s="31" t="e">
        <f t="shared" ca="1" si="60"/>
        <v>#N/A</v>
      </c>
      <c r="AS44" s="31" t="e">
        <f ca="1">INDEX(Ref_Master_Unit_Table,MATCH($AK44,REF_To_Unit,0),MATCH('Reference - Lookup and Unit'!$A$11,Ref_From_Units,0))</f>
        <v>#N/A</v>
      </c>
      <c r="AT44" s="31" t="e">
        <f t="shared" ca="1" si="61"/>
        <v>#N/A</v>
      </c>
      <c r="AU44" s="31" t="e" cm="1">
        <f t="array" aca="1" ref="AU44"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44" s="31">
        <f t="shared" ca="1" si="48"/>
        <v>27.9</v>
      </c>
      <c r="AW44" s="31">
        <f t="shared" ca="1" si="49"/>
        <v>273</v>
      </c>
      <c r="AX44" s="31" t="e" cm="1">
        <f t="array" aca="1" ref="AX44"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44" s="25" t="e" cm="1">
        <f t="array" ref="AY44">_xlfn.IFS(
AND($E44&lt;&gt;"",$G44="Custom Fuel"),("Settings_Custom_Fuels"),
AND($E44&lt;&gt;"",$G44="Custom vehicle"),("Settings_Custom_Vehicle"),
AND($E44&lt;&gt;"",$G44="Fuel Use"),("Ref_DD_vehicle_FuelUse"&amp;"_"&amp;C44&amp;"_"&amp;E44),
AND($E44&lt;&gt;"",$G44="Fuel Use and Vehicle Distance"),("Ref_DD_Fuel_VehicleDistance"&amp;"_"&amp;C44&amp;"_"&amp;E44),
AND($E44&lt;&gt;"",$G44="Vehicle Distance (e.g. Road Transport)"),("Ref_DD_vehicle_VehicleDistance"&amp;"_"&amp;C44&amp;"_"&amp;E44),
AND($E44&lt;&gt;"",$G44="Weight Distance (e.g. Freight Transport)"),("Ref_DD_vehicle_WeightDistance"&amp;"_"&amp;C44&amp;"_"&amp;E44),
AND($E44&lt;&gt;"",$G44="Vehicle Distance (e.g. Public or Freight Transport)"),("Ref_DD_vehicle_DistanceS3"&amp;"_"&amp;C44),
AND($E44&lt;&gt;"",$G44="Passenger Distance (e.g. Public Transport)"),("Ref_DD_vehicle_Passenger"&amp;"_"&amp;C44&amp;"_"&amp;E44),
AND($E44="",$G44="Fuel Use"),("Ref_DD_vehicle_FuelUse"&amp;"_"&amp;C44),
AND($E44="",OR($G44="Vehicle Distance (e.g. Road Transport)",$G44="Fuel Use and Vehicle Distance")),("Ref_DD_vehicle_VehicleDistance"&amp;"_"&amp;C44),
AND($E44="",$G44="Weight Distance (e.g. Freight Transport)"),("Ref_DD_vehicle_WeightDistance"&amp;"_"&amp;C44),
AND($E44="",$G44="Vehicle Distance (e.g. Public or Freight Transport)"),("Ref_DD_vehicle_DistanceS3"&amp;"_"&amp;C44),
AND($E44="",$G44="Passenger Distance (e.g. Public Transport)"),("Ref_DD_vehicle_Passenger"&amp;"_"&amp;C44))</f>
        <v>#N/A</v>
      </c>
      <c r="AZ44" s="25" t="b">
        <f t="shared" ca="1" si="4"/>
        <v>0</v>
      </c>
      <c r="BA44" s="25" t="str">
        <f t="shared" si="5"/>
        <v/>
      </c>
      <c r="BB44" s="25" t="str">
        <f t="shared" si="6"/>
        <v/>
      </c>
      <c r="BC44" s="25" t="str">
        <f t="shared" si="50"/>
        <v/>
      </c>
      <c r="BD44" s="25" t="str">
        <f t="shared" si="51"/>
        <v/>
      </c>
      <c r="BE44" s="25" t="str">
        <f t="shared" si="52"/>
        <v/>
      </c>
      <c r="BF44" s="25" t="str">
        <f t="shared" si="53"/>
        <v/>
      </c>
      <c r="BG44" s="25" t="str">
        <f t="shared" si="7"/>
        <v/>
      </c>
      <c r="BH44" s="25" t="str">
        <f t="shared" si="8"/>
        <v/>
      </c>
      <c r="BI44" s="25" t="str">
        <f t="shared" si="54"/>
        <v/>
      </c>
      <c r="BJ44" s="25" t="str">
        <f t="shared" si="55"/>
        <v/>
      </c>
      <c r="BK44" s="25" t="str">
        <f t="shared" si="56"/>
        <v/>
      </c>
      <c r="BL44" s="25" t="str">
        <f t="shared" si="57"/>
        <v/>
      </c>
      <c r="BM44" s="25" t="str">
        <f t="shared" si="9"/>
        <v/>
      </c>
      <c r="BN44" s="25" t="str">
        <f t="shared" ca="1" si="10"/>
        <v/>
      </c>
      <c r="BO44" s="25" t="str">
        <f t="shared" si="11"/>
        <v/>
      </c>
      <c r="BP44" s="25" t="str">
        <f t="shared" si="12"/>
        <v/>
      </c>
      <c r="BQ44" s="25" t="str">
        <f t="shared" si="13"/>
        <v/>
      </c>
      <c r="BR44" s="25" t="str">
        <f t="shared" si="14"/>
        <v/>
      </c>
      <c r="BS44" s="25" t="str">
        <f t="shared" si="15"/>
        <v/>
      </c>
      <c r="BT44" s="25" t="str">
        <f t="shared" si="16"/>
        <v/>
      </c>
      <c r="BU44" s="25" t="str">
        <f t="shared" si="17"/>
        <v/>
      </c>
      <c r="BV44" s="25" t="str">
        <f t="shared" si="18"/>
        <v/>
      </c>
      <c r="BW44" s="25" t="str">
        <f t="shared" si="19"/>
        <v/>
      </c>
      <c r="BX44" s="25" t="str">
        <f t="shared" si="20"/>
        <v/>
      </c>
      <c r="BY44" s="25" t="str">
        <f t="shared" si="21"/>
        <v/>
      </c>
      <c r="BZ44" s="25" t="str">
        <f t="shared" si="22"/>
        <v/>
      </c>
      <c r="CA44" s="25" t="str">
        <f t="shared" si="23"/>
        <v/>
      </c>
      <c r="CB44" s="25" t="str">
        <f t="shared" si="24"/>
        <v/>
      </c>
      <c r="CC44" s="25" t="str">
        <f t="shared" si="25"/>
        <v/>
      </c>
      <c r="CD44" s="25" t="str">
        <f t="shared" si="26"/>
        <v/>
      </c>
      <c r="CE44" s="25" t="str">
        <f t="shared" si="27"/>
        <v/>
      </c>
      <c r="CF44" s="25" t="str">
        <f t="shared" si="28"/>
        <v/>
      </c>
      <c r="CG44" s="25" t="str">
        <f t="shared" si="29"/>
        <v/>
      </c>
      <c r="CH44" s="25" t="str">
        <f t="shared" si="30"/>
        <v/>
      </c>
      <c r="CI44" s="25" t="str">
        <f t="shared" si="31"/>
        <v/>
      </c>
      <c r="CJ44" s="25" t="str">
        <f t="shared" si="32"/>
        <v/>
      </c>
      <c r="CK44" s="25" t="str">
        <f t="shared" si="33"/>
        <v/>
      </c>
      <c r="CL44" s="25" t="str">
        <f t="shared" si="34"/>
        <v/>
      </c>
      <c r="CM44" s="25" t="str">
        <f t="shared" si="35"/>
        <v/>
      </c>
      <c r="CN44" s="25" t="str">
        <f t="shared" si="36"/>
        <v/>
      </c>
      <c r="CO44" s="25" t="str">
        <f t="shared" si="37"/>
        <v/>
      </c>
      <c r="CP44" s="25" t="str">
        <f t="shared" si="38"/>
        <v/>
      </c>
      <c r="CQ44" s="25" t="str">
        <f t="shared" si="39"/>
        <v/>
      </c>
      <c r="CR44" s="25" t="str">
        <f t="shared" si="40"/>
        <v/>
      </c>
      <c r="CS44" s="25" t="str">
        <f t="shared" si="41"/>
        <v/>
      </c>
      <c r="CT44" s="25" t="str">
        <f t="shared" si="42"/>
        <v/>
      </c>
      <c r="CU44" s="25" t="str">
        <f t="shared" si="43"/>
        <v/>
      </c>
      <c r="CV44" s="25" t="str">
        <f t="shared" si="44"/>
        <v/>
      </c>
      <c r="CW44" s="25" t="str">
        <f t="shared" si="45"/>
        <v/>
      </c>
      <c r="CX44" s="25" t="str" cm="1">
        <f t="array" ref="CX44">_xlfn.IFNA(_xlfn.IFS(
$G44="Weight Distance (e.g. Freight Transport)","Ref_DD_WeightDistanceUnits",
$G44="Passenger Distance (e.g. Public Transport)","Ref_DD_PasengerDistanceUnits",
$G44="Vehicle Distance (e.g. Road Transport)", "Ref_DD_DistanceUnit",
$G44="Vehicle Distance (e.g. Public or Freight Transport)","Ref_DD_DistanceUnit",
$G44="Fuel Use and Vehicle Distance", "Ref_DD_DistanceUnit",
$G44="Custom Vehicle",VLOOKUP($H44,'2. Settings'!$B$39:$I$54,8,FALSE)),"")</f>
        <v/>
      </c>
      <c r="CY44" s="27" t="str">
        <f ca="1">IF(AND(ISERROR(#REF!*$AU44)=TRUE,ISERROR((S44/1000)*$AV44)=TRUE,ISERROR((T44/1000)*$AW44)=FALSE),((T44/1000)*$AW44),"")</f>
        <v/>
      </c>
      <c r="CZ44" s="27" cm="1">
        <f t="array" ref="CZ44">IFERROR(_xlfn.IFS(
AND($G44="Custom vehicle",OR($J44="Passenger Mile",$J44="Passenger Kilometer")),"Passenger Distance (e.g. Public Transport)",
AND($G44="Custom vehicle",OR($J44="Tonne Mile",$J44="Tonne Kilometer",$J44="Short Ton Kilometer",$J44="Short Ton Mile")),"Weight Distance (e.g. Freight Transport)",
AND($G44="Custom vehicle",OR($J44="Mile",$J44="Kilometer")),"Vehicle Distance (e.g. Road Transport)",
$G44&lt;&gt;"Custom vehicle",$G44),"")</f>
        <v>0</v>
      </c>
      <c r="DA44" s="27" t="str" cm="1">
        <f t="array" ref="DA44">IFERROR(_xlfn.IFS(OR(J44="Tonne Kilometer",J44="Tonne Mile",J44="Short Ton Mile",J44="Short Ton Kilometer"),I44*K44,OR(J44="Passenger Kilometer",J44="Passenger Mile"),I44*L44,OR(J44="Kilometer",J44="Mile"),$I44),"")</f>
        <v/>
      </c>
    </row>
    <row r="45" spans="2:105" x14ac:dyDescent="0.25">
      <c r="B45" s="244"/>
      <c r="C45" s="71" t="str" cm="1">
        <f t="array" ref="C45">IFERROR(_xlfn.IFS($D45="Other", D45&amp;"_" &amp;Ref_Other_to,OR($D45="UK", $D45="US"),$D45),"")</f>
        <v/>
      </c>
      <c r="D45" s="71"/>
      <c r="E45" s="71"/>
      <c r="F45" s="71"/>
      <c r="G45" s="72"/>
      <c r="H45" s="72"/>
      <c r="I45" s="73"/>
      <c r="J45" s="73"/>
      <c r="K45" s="73"/>
      <c r="L45" s="73"/>
      <c r="M45" s="74"/>
      <c r="N45" s="75"/>
      <c r="O45" s="71"/>
      <c r="P45" s="165" t="str">
        <f t="shared" si="58"/>
        <v/>
      </c>
      <c r="Q45" s="166" t="str">
        <f t="shared" si="46"/>
        <v/>
      </c>
      <c r="R45" s="76" t="str" cm="1">
        <f t="array" aca="1" ref="R45" ca="1">IFERROR(_xlfn.IFS(
AND(AA45&gt;0, OR($G45="Fuel Use",$G45="Custom Fuel")),$N45*$AA45*$AM45*$AN45,
AND(AA45&gt;0,$CZ45="Vehicle Distance (e.g. Road Transport)"),$I45*$AA45*$AM45*$AN45,
AND(AA45&gt;0,$CZ45="Vehicle Distance (e.g. Public or Freight Transport)"),$I45*$AA45*$AM45*$AN45,
AND(AA45&gt;0,$CZ45="Fuel Use and Vehicle Distance"),$N45*$AA45*$AM45*$AN45,
AND(AA45&gt;0,$CZ45="Passenger Distance (e.g. Public Transport)"),$DA45*$AA45*$AM45*$AN45,
AND(AA45&gt;0,$CZ45="Weight Distance (e.g. Freight Transport)"),$DA45*$AA45*$AM45*$AN45),"")</f>
        <v/>
      </c>
      <c r="S45" s="77" t="str" cm="1">
        <f t="array" aca="1" ref="S45" ca="1">IFERROR(_xlfn.IFS(
AND(AG45&gt;-1, $G45="Fuel Use and Vehicle Distance"),$I45*$AG45*$AQ45*$AR45,
AND(AG45&gt;-1, $G45="Vehicle Distance (e.g. Road Transport)"),$I45*$AG45*$AQ45*$AR45,
AND(AG45&gt;-1, $CZ45="Vehicle Distance (e.g. Public or Freight Transport)"),$I45*$AG45*$AQ45*$AR45,
AND(AG45&gt;-1, OR($G45="Fuel Use",$G45="Custom Fuel")), $N45*$AG45*$AQ45*$AR45*1000,
AND(AG45&gt;-1, $G45="Custom Vehicle"),$DA45*$AG45*$AQ45*$AR45*1000,
AND(AG45&gt;-1, AND($G45&lt;&gt;"Custom Vehicle",$CZ45="Weight Distance (e.g. Freight Transport)")),$DA45*$AG45*$AQ45*$AR45*1000,
AND(AG45&gt;-1, AND($G45&lt;&gt;"Custom Vehicle",$CZ45="Passenger Distance (e.g. Public Transport)")), $DA45*$AG45*$AQ45*$AR45*1000),"")</f>
        <v/>
      </c>
      <c r="T45" s="77" t="str" cm="1">
        <f t="array" aca="1" ref="T45" ca="1">IFERROR(_xlfn.IFS(
AND(AJ45&gt;0,$G45="Fuel Use and Vehicle Distance"),$I45*$AJ45*$AS45*$AT45,
AND(AJ45&gt;0,$G45="Vehicle Distance (e.g. Road Transport)"),$I45*$AJ45*$AS45*$AT45,
AND(AJ45&gt;0,$G45="Vehicle Distance (e.g. Public or Freight Transport)"),$I45*$AJ45*$AS45*$AT45,
AND(AJ45&gt;0,OR($G45="Fuel Use",$G45="Custom Fuel")), $N45*$AJ45*$AS45*$AT45*1000,
AND(AJ45&gt;0,$G45="Custom Vehicle"),$DA45*$AJ45*$AS45*$AT45*1000,
AND(AJ45&gt;0,AND($G45&lt;&gt;"Custom Vehicle",$CZ45="Weight Distance (e.g. Freight Transport)")),$DA45*$AJ45*$AS45*$AT45*1000,
AND(AJ45&gt;0,AND($G45&lt;&gt;"Custom Vehicle",$CZ45="Passenger Distance (e.g. Public Transport)")), $DA45*$AJ45*$AS45*$AT45*1000),"")</f>
        <v/>
      </c>
      <c r="U45" s="78" t="str">
        <f t="shared" ca="1" si="47"/>
        <v/>
      </c>
      <c r="V45" s="161" t="str" cm="1">
        <f t="array" aca="1" ref="V45" ca="1">IFERROR(_xlfn.IFS(
AND(AD45&gt;0,OR($CZ45="Fuel Use",$CZ45="Custom Fuel",$CZ45="Fuel Use and Vehicle Distance")),($N45*$AD45*$AO45*$AP45),
AND(AD45&gt;0,$G45="Custom Vehicle"),$DA45*$AD45*$AO45*$AP45,
AND(AD45&gt;0,$CZ45="Vehicle Distance (e.g. Public or Freight Transport)"),$I45*$AD45*$AM45*$AN45,
AND(AD45&gt;0,$CZ45="Weight Distance (e.g. Freight Transport)"),($I45*$K45*$AD45*$AO45*$AP45),
AND(AD45&gt;0,$CZ45="Passenger Distance (e.g. Public Transport)"),$I45*$L45*$AD45*$AO45*$AP45,
AND(AD45&gt;0,$CZ45="Vehicle Distance (e.g. Road Transport)"),($I45*$AD45*$AO45*$AP45)),"")</f>
        <v/>
      </c>
      <c r="W45" s="164" t="str" cm="1">
        <f t="array" aca="1" ref="W45" ca="1">IFERROR(_xlfn.IFS(AND(ISNUMBER(R45),AA45=0),AA45&amp;" "&amp;"("&amp;AB45&amp;" CO2/"&amp;AC45&amp;")",AND(ISNUMBER(R45),AA45&gt;0),ROUND(AA45,INT(3-LOG(AA45)))&amp;" "&amp;"("&amp;AB45&amp;" CO2/"&amp;AC45&amp;")"),"")</f>
        <v/>
      </c>
      <c r="X45" s="164" t="str" cm="1">
        <f t="array" aca="1" ref="X45" ca="1">IFERROR(_xlfn.IFS(AND(ISNUMBER(S45), AG45=0),AG45&amp;" "&amp;"("&amp;AH45&amp;" CH4/"&amp;AI45&amp;")",AND(ISNUMBER(S45), AG45&gt;0),ROUND(AG45,INT(3-LOG(AG45)))&amp;" "&amp;"("&amp;AH45&amp;" CH4/"&amp;AI45&amp;")"),"")</f>
        <v/>
      </c>
      <c r="Y45" s="164" t="str" cm="1">
        <f t="array" aca="1" ref="Y45" ca="1">IFERROR(_xlfn.IFS(AND(ISNUMBER(T45), AJ45=0),AJ45&amp;" "&amp;"("&amp;AK45&amp;" CH4/"&amp;AL45&amp;")",AND(ISNUMBER(T45), AJ45&gt;0),ROUND(AJ45,INT(3-LOG(AJ45)))&amp;" "&amp;"("&amp;AK45&amp;" N2O/"&amp;AL45&amp;")"),"")</f>
        <v/>
      </c>
      <c r="Z45" s="245" t="str" cm="1">
        <f t="array" aca="1" ref="Z45" ca="1">IFERROR(_xlfn.IFS(AND(ISNUMBER(V45),AD45=0),AD45&amp;" "&amp;"("&amp;AE45&amp;" CO2/"&amp;AF45&amp;")",AND(ISNUMBER(V45),AD45&gt;0),ROUND(AD45,INT(3-LOG(AD45)))&amp;" "&amp;"("&amp;AE45&amp;" CO2/"&amp;AF45&amp;")"),"")</f>
        <v/>
      </c>
      <c r="AA45" s="240" t="str" cm="1">
        <f t="array" aca="1" ref="AA45" ca="1">IFERROR(_xlfn.IFS(
OR($G45="Fuel Use",$G45="Fuel Use and Vehicle Distance"),VLOOKUP($M45,INDIRECT("Ref_EF_ByFuel"&amp;"_"&amp;$C45),3,0),
$G45="Vehicle Distance (e.g. Road Transport)",VLOOKUP($H45,INDIRECT("Ref_EF_Vehicle_Distance"&amp;"_"&amp;$C45),3,0),
$G45="Vehicle Distance (e.g. Public or Freight Transport)",VLOOKUP($H45,INDIRECT("Ref_EF_Vehicle_Distance_S3"&amp;"_"&amp;$C45),3,0),
$G45="Custom Vehicle",VLOOKUP($H45,Tbl_vehical_Settings,2,0),
$G45="Custom Fuel",VLOOKUP($M45,Tbl_Fuel_Settings,2,0),
$G45="Weight Distance (e.g. Freight Transport)",VLOOKUP($H45,INDIRECT("Ref_EF_Weight_Distance"&amp;"_"&amp;$C45),3,0),
$G45="Passenger Distance (e.g. Public Transport)",VLOOKUP($H45,INDIRECT("Ref_EF_Public_Transport"&amp;"_"&amp;$C45),3,0)),"")</f>
        <v/>
      </c>
      <c r="AB45" s="31" t="str" cm="1">
        <f t="array" aca="1" ref="AB45" ca="1">IFERROR(_xlfn.IFS(
OR($G45="Fuel Use",$G45="Fuel Use and Vehicle Distance"),VLOOKUP($M45,INDIRECT("Ref_EF_ByFuel"&amp;"_"&amp;$C45),5,0),
$G45="Vehicle Distance (e.g. Road Transport)",VLOOKUP($H45,INDIRECT("Ref_EF_Vehicle_Distance"&amp;"_"&amp;$C45),5,0),
$G45="Vehicle Distance (e.g. Public or Freight Transport)",VLOOKUP($H45,INDIRECT("Ref_EF_Vehicle_Distance_S3"&amp;"_"&amp;$C45),5,0),
$G45="Custom Vehicle",VLOOKUP($H45,Tbl_vehical_Settings,6,0),
$G45="Custom Fuel",VLOOKUP($M45,Tbl_Fuel_Settings,6,0),
$G45="Weight Distance (e.g. Freight Transport)",VLOOKUP($H45,INDIRECT("Ref_EF_Weight_Distance"&amp;"_"&amp;$C45),5,0),
$G45="Passenger Distance (e.g. Public Transport)",VLOOKUP($H45,INDIRECT("Ref_EF_Public_Transport"&amp;"_"&amp;$C45),5,0)),"")</f>
        <v/>
      </c>
      <c r="AC45" s="31" t="str" cm="1">
        <f t="array" aca="1" ref="AC45" ca="1">IFERROR(_xlfn.IFS(
OR($G45="Fuel Use",$G45="Fuel Use and Vehicle Distance"),VLOOKUP($M45,INDIRECT("Ref_EF_ByFuel"&amp;"_"&amp;$C45),6,0),
$G45="Vehicle Distance (e.g. Road Transport)",VLOOKUP($H45,INDIRECT("Ref_EF_Vehicle_Distance"&amp;"_"&amp;$C45),6,0),
$G45="Vehicle Distance (e.g. Public or Freight Transport)",VLOOKUP($H45,INDIRECT("Ref_EF_Vehicle_Distance_S3"&amp;"_"&amp;$C45),6,0),
$G45="Custom Vehicle",VLOOKUP($H45,Tbl_vehical_Settings,7,0),
$G45="Custom Fuel",VLOOKUP($M45,Tbl_Fuel_Settings,7,0),
$G45="Weight Distance (e.g. Freight Transport)",VLOOKUP($H45,INDIRECT("Ref_EF_Weight_Distance"&amp;"_"&amp;$C45),6,0),
$G45="Passenger Distance (e.g. Public Transport)",VLOOKUP($H45,INDIRECT("Ref_EF_Public_Transport"&amp;"_"&amp;$C45),6,0)),"")</f>
        <v/>
      </c>
      <c r="AD45" s="31" t="str" cm="1">
        <f t="array" aca="1" ref="AD45" ca="1">IFERROR(_xlfn.IFS(
OR($G45="Fuel Use",$G45="Fuel Use and Vehicle Distance"),VLOOKUP($M45,INDIRECT("Ref_EF_ByFuel"&amp;"_"&amp;$C45),4,0),
$G45="Vehicle Distance (e.g. Road Transport)",VLOOKUP($H45,INDIRECT("Ref_EF_Vehicle_Distance"&amp;"_"&amp;$C45),4,0),
$G45="Vehicle Distance (e.g. Public or Freight Transport)",VLOOKUP($H45,INDIRECT("Ref_EF_Vehicle_Distance_S3"&amp;"_"&amp;$C45),4,0),
$G45="Custom Vehicle",VLOOKUP($H45,Tbl_vehical_Settings,5,0),
$G45="Custom Fuel",VLOOKUP($M45,Tbl_Fuel_Settings,5,0),
$G45="Weight Distance (e.g. Freight Transport)",VLOOKUP($H45,INDIRECT("Ref_EF_Weight_Distance"&amp;"_"&amp;$C45),4,0),
$G45="Passenger Distance (e.g. Public Transport)",VLOOKUP($H45,INDIRECT("Ref_EF_Public_Transport"&amp;"_"&amp;$C45),4,0)),"")</f>
        <v/>
      </c>
      <c r="AE45" s="31" t="str" cm="1">
        <f t="array" aca="1" ref="AE45" ca="1">IFERROR(_xlfn.IFS(
OR($G45="Fuel Use",$G45="Fuel Use and Vehicle Distance"),VLOOKUP($M45,INDIRECT("Ref_EF_ByFuel"&amp;"_"&amp;$C45),5,0),
$G45="Vehicle Distance (e.g. Road Transport)",VLOOKUP($H45,INDIRECT("Ref_EF_Vehicle_Distance"&amp;"_"&amp;$C45),5,0),
$G45="Vehicle Distance (e.g. Public or Freight Transport)",VLOOKUP($H45,INDIRECT("Ref_EF_Vehicle_Distance_S3"&amp;"_"&amp;$C45),5,0),
$G45="Custom Vehicle",VLOOKUP($H45,Tbl_vehical_Settings,6,0),
$G45="Custom Fuel",VLOOKUP($M45,Tbl_Fuel_Settings,6,0),
$G45="Weight Distance (e.g. Freight Transport)",VLOOKUP($H45,INDIRECT("Ref_EF_Weight_Distance"&amp;"_"&amp;$C45),5,0),
$G45="Passenger Distance (e.g. Public Transport)",VLOOKUP($H45,INDIRECT("Ref_EF_Public_Transport"&amp;"_"&amp;$C45),5,0)),"")</f>
        <v/>
      </c>
      <c r="AF45" s="31" t="str" cm="1">
        <f t="array" aca="1" ref="AF45" ca="1">IFERROR(_xlfn.IFS(
OR($G45="Fuel Use",$G45="Fuel Use and Vehicle Distance"),VLOOKUP($M45,INDIRECT("Ref_EF_ByFuel"&amp;"_"&amp;$C45),6,0),
$G45="Vehicle Distance (e.g. Road Transport)",VLOOKUP($H45,INDIRECT("Ref_EF_Vehicle_Distance"&amp;"_"&amp;$C45),6,0),
$G45="Vehicle Distance (e.g. Public or Freight Transport)",VLOOKUP($H45,INDIRECT("Ref_EF_Vehicle_Distance_S3"&amp;"_"&amp;$C45),6,0),
$G45="Custom Vehicle",VLOOKUP($H45,Tbl_vehical_Settings,7,0),
$G45="Custom Fuel",VLOOKUP($M45,Tbl_Fuel_Settings,7,0),
$G45="Weight Distance (e.g. Freight Transport)",VLOOKUP($H45,INDIRECT("Ref_EF_Weight_Distance"&amp;"_"&amp;$C45),6,0),
$G45="Passenger Distance (e.g. Public Transport)",VLOOKUP($H45,INDIRECT("Ref_EF_Public_Transport"&amp;"_"&amp;$C45),6,0)),"")</f>
        <v/>
      </c>
      <c r="AG45" s="31" t="str" cm="1">
        <f t="array" aca="1" ref="AG45" ca="1">IFERROR(_xlfn.IFS(
AND($G45="Fuel Use",$E45&lt;&gt;"Road"),VLOOKUP($H45,INDIRECT("Ref_EF_ByFuel_CH4"&amp;"_"&amp;$C45),3,0),
$G45="Vehicle Distance (e.g. Road Transport)",VLOOKUP($H45,INDIRECT("Ref_EF_Vehicle_Distance"&amp;"_"&amp;$C45),7,0),
$G45="Vehicle Distance (e.g. Public or Freight Transport)",VLOOKUP($H45,INDIRECT("Ref_EF_Vehicle_Distance_S3"&amp;"_"&amp;$C45),7,0),
$G45="Fuel Use and Vehicle Distance",VLOOKUP($H45,INDIRECT("Ref_EF_Fuel_Vehicle_Distance"&amp;"_"&amp;$C45),3,0),
$G45="Custom Vehicle",VLOOKUP($H45,Tbl_vehical_Settings,3,0),
$G45="Custom Fuel",VLOOKUP($M45,Tbl_Fuel_Settings,3,0),
$G45="Weight Distance (e.g. Freight Transport)",VLOOKUP($H45,INDIRECT("Ref_EF_Weight_Distance_CH4"&amp;"_"&amp;$C45),3,0),
$G45="Passenger Distance (e.g. Public Transport)",VLOOKUP($H45,INDIRECT("Ref_EF_Public_Transport_CH4"&amp;"_"&amp;$C45),7,0)),"")</f>
        <v/>
      </c>
      <c r="AH45" s="31" t="str" cm="1">
        <f t="array" aca="1" ref="AH45" ca="1">IFERROR(_xlfn.IFS(
AND($G45="Fuel Use",$E45&lt;&gt;"Road"),VLOOKUP($H45,INDIRECT("Ref_EF_ByFuel_CH4"&amp;"_"&amp;$C45),4,0),
$G45="Vehicle Distance (e.g. Road Transport)",VLOOKUP($H45,INDIRECT("Ref_EF_Vehicle_Distance"&amp;"_"&amp;$C45),8,0),
$G45="Vehicle Distance (e.g. Public or Freight Transport)",VLOOKUP($H45,INDIRECT("Ref_EF_Vehicle_Distance_S3"&amp;"_"&amp;$C45),8,0),
$G45="Fuel Use and Vehicle Distance",VLOOKUP($H45,INDIRECT("Ref_EF_Fuel_Vehicle_Distance"&amp;"_"&amp;$C45),4,0),
$G45="Custom Vehicle",VLOOKUP($H45,Tbl_vehical_Settings,6,0),
$G45="Custom Fuel",VLOOKUP($M45,Tbl_Fuel_Settings,6,0),
$G45="Weight Distance (e.g. Freight Transport)",VLOOKUP($H45,INDIRECT("Ref_EF_Weight_Distance_CH4"&amp;"_"&amp;$C45),4,0),
$G45="Passenger Distance (e.g. Public Transport)",VLOOKUP($H45,INDIRECT("Ref_EF_Public_Transport_CH4"&amp;"_"&amp;$C45),8,0)),"")</f>
        <v/>
      </c>
      <c r="AI45" s="31" t="str" cm="1">
        <f t="array" aca="1" ref="AI45" ca="1">IFERROR(_xlfn.IFS(
AND($G45="Fuel Use",$E45&lt;&gt;"Road"),VLOOKUP($H45,INDIRECT("Ref_EF_ByFuel_CH4"&amp;"_"&amp;$C45),5,0),
$G45="Vehicle Distance (e.g. Road Transport)",VLOOKUP($H45,INDIRECT("Ref_EF_Vehicle_Distance"&amp;"_"&amp;$C45),9,0),
$G45="Vehicle Distance (e.g. Public or Freight Transport)",VLOOKUP($H45,INDIRECT("Ref_EF_Vehicle_Distance_S3"&amp;"_"&amp;$C45),9,0),
$G45="Fuel Use and Vehicle Distance",VLOOKUP($H45,INDIRECT("Ref_EF_Fuel_Vehicle_Distance"&amp;"_"&amp;$C45),5,0),
$G45="Custom Vehicle",VLOOKUP($H45,Tbl_vehical_Settings,7,0),
$G45="Custom Fuel",VLOOKUP($M45,Tbl_Fuel_Settings,7,0),
$G45="Weight Distance (e.g. Freight Transport)",VLOOKUP($H45,INDIRECT("Ref_EF_Weight_Distance_CH4"&amp;"_"&amp;$C45),5,0),
$G45="Passenger Distance (e.g. Public Transport)",VLOOKUP($H45,INDIRECT("Ref_EF_Public_Transport_CH4"&amp;"_"&amp;$C45),9,0)),"")</f>
        <v/>
      </c>
      <c r="AJ45" s="31" t="str" cm="1">
        <f t="array" aca="1" ref="AJ45" ca="1">IFERROR(_xlfn.IFS(
AND($G45="Fuel Use",$E45&lt;&gt;"Road"),VLOOKUP($H45,INDIRECT("Ref_EF_ByFuel_CH4"&amp;"_"&amp;$C45),6,0),
$G45="Vehicle Distance (e.g. Road Transport)",VLOOKUP($H45,INDIRECT("Ref_EF_Vehicle_Distance"&amp;"_"&amp;$C45),10,0),
$G45="Vehicle Distance (e.g. Public or Freight Transport)",VLOOKUP($H45,INDIRECT("Ref_EF_Vehicle_Distance_S3"&amp;"_"&amp;$C45),10,0),
$G45="Fuel Use and Vehicle Distance",VLOOKUP($H45,INDIRECT("Ref_EF_Fuel_Vehicle_Distance"&amp;"_"&amp;$C45),6,0),
$G45="Custom Vehicle",VLOOKUP($H45,Tbl_vehical_Settings,4,0),
$G45="Custom Fuel",VLOOKUP($M45,Tbl_Fuel_Settings,4,0),
$G45="Weight Distance (e.g. Freight Transport)",VLOOKUP($H45,INDIRECT("Ref_EF_Weight_Distance_CH4"&amp;"_"&amp;$C45),6,0),
$G45="Passenger Distance (e.g. Public Transport)",VLOOKUP($H45,INDIRECT("Ref_EF_Public_Transport_CH4"&amp;"_"&amp;$C45),10,0)),"")</f>
        <v/>
      </c>
      <c r="AK45" s="31" t="str" cm="1">
        <f t="array" aca="1" ref="AK45" ca="1">IFERROR(_xlfn.IFS(
AND($G45="Fuel Use",$E45&lt;&gt;"Road"),VLOOKUP($H45,INDIRECT("Ref_EF_ByFuel_CH4"&amp;"_"&amp;$C45),7,0),
$G45="Vehicle Distance (e.g. Road Transport)",VLOOKUP($H45,INDIRECT("Ref_EF_Vehicle_Distance"&amp;"_"&amp;$C45),11,0),
$G45="Vehicle Distance (e.g. Public or Freight Transport)",VLOOKUP($H45,INDIRECT("Ref_EF_Vehicle_Distance_S3"&amp;"_"&amp;$C45),11,0),
$G45="Fuel Use and Vehicle Distance",VLOOKUP($H45,INDIRECT("Ref_EF_Fuel_Vehicle_Distance"&amp;"_"&amp;$C45),7,0),
$G45="Custom Vehicle",VLOOKUP($H45,Tbl_vehical_Settings,6,0),
$G45="Custom Fuel",VLOOKUP($M45,Tbl_Fuel_Settings,6,0),
$G45="Weight Distance (e.g. Freight Transport)",VLOOKUP($H45,INDIRECT("Ref_EF_Weight_Distance_CH4"&amp;"_"&amp;$C45),7,0),
$G45="Passenger Distance (e.g. Public Transport)",VLOOKUP($H45,INDIRECT("Ref_EF_Public_Transport_CH4"&amp;"_"&amp;$C45),11,0)),"")</f>
        <v/>
      </c>
      <c r="AL45" s="31" t="str" cm="1">
        <f t="array" aca="1" ref="AL45" ca="1">IFERROR(_xlfn.IFS(
AND($G45="Fuel Use",$E45&lt;&gt;"Road"),VLOOKUP($H45,INDIRECT("Ref_EF_ByFuel_CH4"&amp;"_"&amp;$C45),8,0),
$G45="Vehicle Distance (e.g. Road Transport)",VLOOKUP($H45,INDIRECT("Ref_EF_Vehicle_Distance"&amp;"_"&amp;$C45),12,0),
$G45="Vehicle Distance (e.g. Public or Freight Transport)",VLOOKUP($H45,INDIRECT("Ref_EF_Vehicle_Distance_S3"&amp;"_"&amp;$C45),12,0),
$G45="Fuel Use and Vehicle Distance",VLOOKUP($H45,INDIRECT("Ref_EF_Fuel_Vehicle_Distance"&amp;"_"&amp;$C45),8,0),
$G45="Custom Vehicle",VLOOKUP($H45,Tbl_vehical_Settings,7,0),
$G45="Custom Fuel",VLOOKUP($M45,Tbl_Fuel_Settings,7,0),
$G45="Weight Distance (e.g. Freight Transport)",VLOOKUP($H45,INDIRECT("Ref_EF_Weight_Distance_CH4"&amp;"_"&amp;$C45),8,0),
$G45="Passenger Distance (e.g. Public Transport)",VLOOKUP($H45,INDIRECT("Ref_EF_Public_Transport_CH4"&amp;"_"&amp;$C45),12,0)),"")</f>
        <v/>
      </c>
      <c r="AM45" s="31" t="e">
        <f ca="1">INDEX(Ref_Master_Unit_Table,MATCH($AB45,REF_To_Unit,0),MATCH('Reference - Lookup and Unit'!$A$11,Ref_From_Units,0))</f>
        <v>#N/A</v>
      </c>
      <c r="AN45" s="31" t="e">
        <f t="shared" ca="1" si="0"/>
        <v>#N/A</v>
      </c>
      <c r="AO45" s="31" t="e">
        <f ca="1">INDEX(Ref_Master_Unit_Table,MATCH($AE45,REF_To_Unit,0),MATCH('Reference - Lookup and Unit'!$A$11,Ref_From_Units,0))</f>
        <v>#N/A</v>
      </c>
      <c r="AP45" s="31" t="e">
        <f t="shared" ca="1" si="59"/>
        <v>#N/A</v>
      </c>
      <c r="AQ45" s="31" t="e">
        <f ca="1">INDEX(Ref_Master_Unit_Table,MATCH($AH45,REF_To_Unit,0),MATCH('Reference - Lookup and Unit'!$A$11,Ref_From_Units,0))</f>
        <v>#N/A</v>
      </c>
      <c r="AR45" s="31" t="e">
        <f t="shared" ca="1" si="60"/>
        <v>#N/A</v>
      </c>
      <c r="AS45" s="31" t="e">
        <f ca="1">INDEX(Ref_Master_Unit_Table,MATCH($AK45,REF_To_Unit,0),MATCH('Reference - Lookup and Unit'!$A$11,Ref_From_Units,0))</f>
        <v>#N/A</v>
      </c>
      <c r="AT45" s="31" t="e">
        <f t="shared" ca="1" si="61"/>
        <v>#N/A</v>
      </c>
      <c r="AU45" s="31" t="e" cm="1">
        <f t="array" aca="1" ref="AU45"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45" s="31">
        <f t="shared" ca="1" si="48"/>
        <v>27.9</v>
      </c>
      <c r="AW45" s="31">
        <f t="shared" ca="1" si="49"/>
        <v>273</v>
      </c>
      <c r="AX45" s="31" t="e" cm="1">
        <f t="array" aca="1" ref="AX45"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45" s="25" t="e" cm="1">
        <f t="array" ref="AY45">_xlfn.IFS(
AND($E45&lt;&gt;"",$G45="Custom Fuel"),("Settings_Custom_Fuels"),
AND($E45&lt;&gt;"",$G45="Custom vehicle"),("Settings_Custom_Vehicle"),
AND($E45&lt;&gt;"",$G45="Fuel Use"),("Ref_DD_vehicle_FuelUse"&amp;"_"&amp;C45&amp;"_"&amp;E45),
AND($E45&lt;&gt;"",$G45="Fuel Use and Vehicle Distance"),("Ref_DD_Fuel_VehicleDistance"&amp;"_"&amp;C45&amp;"_"&amp;E45),
AND($E45&lt;&gt;"",$G45="Vehicle Distance (e.g. Road Transport)"),("Ref_DD_vehicle_VehicleDistance"&amp;"_"&amp;C45&amp;"_"&amp;E45),
AND($E45&lt;&gt;"",$G45="Weight Distance (e.g. Freight Transport)"),("Ref_DD_vehicle_WeightDistance"&amp;"_"&amp;C45&amp;"_"&amp;E45),
AND($E45&lt;&gt;"",$G45="Vehicle Distance (e.g. Public or Freight Transport)"),("Ref_DD_vehicle_DistanceS3"&amp;"_"&amp;C45),
AND($E45&lt;&gt;"",$G45="Passenger Distance (e.g. Public Transport)"),("Ref_DD_vehicle_Passenger"&amp;"_"&amp;C45&amp;"_"&amp;E45),
AND($E45="",$G45="Fuel Use"),("Ref_DD_vehicle_FuelUse"&amp;"_"&amp;C45),
AND($E45="",OR($G45="Vehicle Distance (e.g. Road Transport)",$G45="Fuel Use and Vehicle Distance")),("Ref_DD_vehicle_VehicleDistance"&amp;"_"&amp;C45),
AND($E45="",$G45="Weight Distance (e.g. Freight Transport)"),("Ref_DD_vehicle_WeightDistance"&amp;"_"&amp;C45),
AND($E45="",$G45="Vehicle Distance (e.g. Public or Freight Transport)"),("Ref_DD_vehicle_DistanceS3"&amp;"_"&amp;C45),
AND($E45="",$G45="Passenger Distance (e.g. Public Transport)"),("Ref_DD_vehicle_Passenger"&amp;"_"&amp;C45))</f>
        <v>#N/A</v>
      </c>
      <c r="AZ45" s="25" t="b">
        <f t="shared" ca="1" si="4"/>
        <v>0</v>
      </c>
      <c r="BA45" s="25" t="str">
        <f t="shared" si="5"/>
        <v/>
      </c>
      <c r="BB45" s="25" t="str">
        <f t="shared" si="6"/>
        <v/>
      </c>
      <c r="BC45" s="25" t="str">
        <f t="shared" si="50"/>
        <v/>
      </c>
      <c r="BD45" s="25" t="str">
        <f t="shared" si="51"/>
        <v/>
      </c>
      <c r="BE45" s="25" t="str">
        <f t="shared" si="52"/>
        <v/>
      </c>
      <c r="BF45" s="25" t="str">
        <f t="shared" si="53"/>
        <v/>
      </c>
      <c r="BG45" s="25" t="str">
        <f t="shared" si="7"/>
        <v/>
      </c>
      <c r="BH45" s="25" t="str">
        <f t="shared" si="8"/>
        <v/>
      </c>
      <c r="BI45" s="25" t="str">
        <f t="shared" si="54"/>
        <v/>
      </c>
      <c r="BJ45" s="25" t="str">
        <f t="shared" si="55"/>
        <v/>
      </c>
      <c r="BK45" s="25" t="str">
        <f t="shared" si="56"/>
        <v/>
      </c>
      <c r="BL45" s="25" t="str">
        <f t="shared" si="57"/>
        <v/>
      </c>
      <c r="BM45" s="25" t="str">
        <f t="shared" si="9"/>
        <v/>
      </c>
      <c r="BN45" s="25" t="str">
        <f t="shared" ca="1" si="10"/>
        <v/>
      </c>
      <c r="BO45" s="25" t="str">
        <f t="shared" si="11"/>
        <v/>
      </c>
      <c r="BP45" s="25" t="str">
        <f t="shared" si="12"/>
        <v/>
      </c>
      <c r="BQ45" s="25" t="str">
        <f t="shared" si="13"/>
        <v/>
      </c>
      <c r="BR45" s="25" t="str">
        <f t="shared" si="14"/>
        <v/>
      </c>
      <c r="BS45" s="25" t="str">
        <f t="shared" si="15"/>
        <v/>
      </c>
      <c r="BT45" s="25" t="str">
        <f t="shared" si="16"/>
        <v/>
      </c>
      <c r="BU45" s="25" t="str">
        <f t="shared" si="17"/>
        <v/>
      </c>
      <c r="BV45" s="25" t="str">
        <f t="shared" si="18"/>
        <v/>
      </c>
      <c r="BW45" s="25" t="str">
        <f t="shared" si="19"/>
        <v/>
      </c>
      <c r="BX45" s="25" t="str">
        <f t="shared" si="20"/>
        <v/>
      </c>
      <c r="BY45" s="25" t="str">
        <f t="shared" si="21"/>
        <v/>
      </c>
      <c r="BZ45" s="25" t="str">
        <f t="shared" si="22"/>
        <v/>
      </c>
      <c r="CA45" s="25" t="str">
        <f t="shared" si="23"/>
        <v/>
      </c>
      <c r="CB45" s="25" t="str">
        <f t="shared" si="24"/>
        <v/>
      </c>
      <c r="CC45" s="25" t="str">
        <f t="shared" si="25"/>
        <v/>
      </c>
      <c r="CD45" s="25" t="str">
        <f t="shared" si="26"/>
        <v/>
      </c>
      <c r="CE45" s="25" t="str">
        <f t="shared" si="27"/>
        <v/>
      </c>
      <c r="CF45" s="25" t="str">
        <f t="shared" si="28"/>
        <v/>
      </c>
      <c r="CG45" s="25" t="str">
        <f t="shared" si="29"/>
        <v/>
      </c>
      <c r="CH45" s="25" t="str">
        <f t="shared" si="30"/>
        <v/>
      </c>
      <c r="CI45" s="25" t="str">
        <f t="shared" si="31"/>
        <v/>
      </c>
      <c r="CJ45" s="25" t="str">
        <f t="shared" si="32"/>
        <v/>
      </c>
      <c r="CK45" s="25" t="str">
        <f t="shared" si="33"/>
        <v/>
      </c>
      <c r="CL45" s="25" t="str">
        <f t="shared" si="34"/>
        <v/>
      </c>
      <c r="CM45" s="25" t="str">
        <f t="shared" si="35"/>
        <v/>
      </c>
      <c r="CN45" s="25" t="str">
        <f t="shared" si="36"/>
        <v/>
      </c>
      <c r="CO45" s="25" t="str">
        <f t="shared" si="37"/>
        <v/>
      </c>
      <c r="CP45" s="25" t="str">
        <f t="shared" si="38"/>
        <v/>
      </c>
      <c r="CQ45" s="25" t="str">
        <f t="shared" si="39"/>
        <v/>
      </c>
      <c r="CR45" s="25" t="str">
        <f t="shared" si="40"/>
        <v/>
      </c>
      <c r="CS45" s="25" t="str">
        <f t="shared" si="41"/>
        <v/>
      </c>
      <c r="CT45" s="25" t="str">
        <f t="shared" si="42"/>
        <v/>
      </c>
      <c r="CU45" s="25" t="str">
        <f t="shared" si="43"/>
        <v/>
      </c>
      <c r="CV45" s="25" t="str">
        <f t="shared" si="44"/>
        <v/>
      </c>
      <c r="CW45" s="25" t="str">
        <f t="shared" si="45"/>
        <v/>
      </c>
      <c r="CX45" s="25" t="str" cm="1">
        <f t="array" ref="CX45">_xlfn.IFNA(_xlfn.IFS(
$G45="Weight Distance (e.g. Freight Transport)","Ref_DD_WeightDistanceUnits",
$G45="Passenger Distance (e.g. Public Transport)","Ref_DD_PasengerDistanceUnits",
$G45="Vehicle Distance (e.g. Road Transport)", "Ref_DD_DistanceUnit",
$G45="Vehicle Distance (e.g. Public or Freight Transport)","Ref_DD_DistanceUnit",
$G45="Fuel Use and Vehicle Distance", "Ref_DD_DistanceUnit",
$G45="Custom Vehicle",VLOOKUP($H45,'2. Settings'!$B$39:$I$54,8,FALSE)),"")</f>
        <v/>
      </c>
      <c r="CY45" s="27" t="str">
        <f ca="1">IF(AND(ISERROR(#REF!*$AU45)=TRUE,ISERROR((S45/1000)*$AV45)=TRUE,ISERROR((T45/1000)*$AW45)=FALSE),((T45/1000)*$AW45),"")</f>
        <v/>
      </c>
      <c r="CZ45" s="27" cm="1">
        <f t="array" ref="CZ45">IFERROR(_xlfn.IFS(
AND($G45="Custom vehicle",OR($J45="Passenger Mile",$J45="Passenger Kilometer")),"Passenger Distance (e.g. Public Transport)",
AND($G45="Custom vehicle",OR($J45="Tonne Mile",$J45="Tonne Kilometer",$J45="Short Ton Kilometer",$J45="Short Ton Mile")),"Weight Distance (e.g. Freight Transport)",
AND($G45="Custom vehicle",OR($J45="Mile",$J45="Kilometer")),"Vehicle Distance (e.g. Road Transport)",
$G45&lt;&gt;"Custom vehicle",$G45),"")</f>
        <v>0</v>
      </c>
      <c r="DA45" s="27" t="str" cm="1">
        <f t="array" ref="DA45">IFERROR(_xlfn.IFS(OR(J45="Tonne Kilometer",J45="Tonne Mile",J45="Short Ton Mile",J45="Short Ton Kilometer"),I45*K45,OR(J45="Passenger Kilometer",J45="Passenger Mile"),I45*L45,OR(J45="Kilometer",J45="Mile"),$I45),"")</f>
        <v/>
      </c>
    </row>
    <row r="46" spans="2:105" x14ac:dyDescent="0.25">
      <c r="B46" s="244"/>
      <c r="C46" s="71" t="str" cm="1">
        <f t="array" ref="C46">IFERROR(_xlfn.IFS($D46="Other", D46&amp;"_" &amp;Ref_Other_to,OR($D46="UK", $D46="US"),$D46),"")</f>
        <v/>
      </c>
      <c r="D46" s="71"/>
      <c r="E46" s="71"/>
      <c r="F46" s="71"/>
      <c r="G46" s="72"/>
      <c r="H46" s="72"/>
      <c r="I46" s="73"/>
      <c r="J46" s="73"/>
      <c r="K46" s="73"/>
      <c r="L46" s="73"/>
      <c r="M46" s="74"/>
      <c r="N46" s="75"/>
      <c r="O46" s="71"/>
      <c r="P46" s="165" t="str">
        <f t="shared" si="58"/>
        <v/>
      </c>
      <c r="Q46" s="166" t="str">
        <f t="shared" si="46"/>
        <v/>
      </c>
      <c r="R46" s="76" t="str" cm="1">
        <f t="array" aca="1" ref="R46" ca="1">IFERROR(_xlfn.IFS(
AND(AA46&gt;0, OR($G46="Fuel Use",$G46="Custom Fuel")),$N46*$AA46*$AM46*$AN46,
AND(AA46&gt;0,$CZ46="Vehicle Distance (e.g. Road Transport)"),$I46*$AA46*$AM46*$AN46,
AND(AA46&gt;0,$CZ46="Vehicle Distance (e.g. Public or Freight Transport)"),$I46*$AA46*$AM46*$AN46,
AND(AA46&gt;0,$CZ46="Fuel Use and Vehicle Distance"),$N46*$AA46*$AM46*$AN46,
AND(AA46&gt;0,$CZ46="Passenger Distance (e.g. Public Transport)"),$DA46*$AA46*$AM46*$AN46,
AND(AA46&gt;0,$CZ46="Weight Distance (e.g. Freight Transport)"),$DA46*$AA46*$AM46*$AN46),"")</f>
        <v/>
      </c>
      <c r="S46" s="77" t="str" cm="1">
        <f t="array" aca="1" ref="S46" ca="1">IFERROR(_xlfn.IFS(
AND(AG46&gt;-1, $G46="Fuel Use and Vehicle Distance"),$I46*$AG46*$AQ46*$AR46,
AND(AG46&gt;-1, $G46="Vehicle Distance (e.g. Road Transport)"),$I46*$AG46*$AQ46*$AR46,
AND(AG46&gt;-1, $CZ46="Vehicle Distance (e.g. Public or Freight Transport)"),$I46*$AG46*$AQ46*$AR46,
AND(AG46&gt;-1, OR($G46="Fuel Use",$G46="Custom Fuel")), $N46*$AG46*$AQ46*$AR46*1000,
AND(AG46&gt;-1, $G46="Custom Vehicle"),$DA46*$AG46*$AQ46*$AR46*1000,
AND(AG46&gt;-1, AND($G46&lt;&gt;"Custom Vehicle",$CZ46="Weight Distance (e.g. Freight Transport)")),$DA46*$AG46*$AQ46*$AR46*1000,
AND(AG46&gt;-1, AND($G46&lt;&gt;"Custom Vehicle",$CZ46="Passenger Distance (e.g. Public Transport)")), $DA46*$AG46*$AQ46*$AR46*1000),"")</f>
        <v/>
      </c>
      <c r="T46" s="77" t="str" cm="1">
        <f t="array" aca="1" ref="T46" ca="1">IFERROR(_xlfn.IFS(
AND(AJ46&gt;0,$G46="Fuel Use and Vehicle Distance"),$I46*$AJ46*$AS46*$AT46,
AND(AJ46&gt;0,$G46="Vehicle Distance (e.g. Road Transport)"),$I46*$AJ46*$AS46*$AT46,
AND(AJ46&gt;0,$G46="Vehicle Distance (e.g. Public or Freight Transport)"),$I46*$AJ46*$AS46*$AT46,
AND(AJ46&gt;0,OR($G46="Fuel Use",$G46="Custom Fuel")), $N46*$AJ46*$AS46*$AT46*1000,
AND(AJ46&gt;0,$G46="Custom Vehicle"),$DA46*$AJ46*$AS46*$AT46*1000,
AND(AJ46&gt;0,AND($G46&lt;&gt;"Custom Vehicle",$CZ46="Weight Distance (e.g. Freight Transport)")),$DA46*$AJ46*$AS46*$AT46*1000,
AND(AJ46&gt;0,AND($G46&lt;&gt;"Custom Vehicle",$CZ46="Passenger Distance (e.g. Public Transport)")), $DA46*$AJ46*$AS46*$AT46*1000),"")</f>
        <v/>
      </c>
      <c r="U46" s="78" t="str">
        <f t="shared" ca="1" si="47"/>
        <v/>
      </c>
      <c r="V46" s="161" t="str" cm="1">
        <f t="array" aca="1" ref="V46" ca="1">IFERROR(_xlfn.IFS(
AND(AD46&gt;0,OR($CZ46="Fuel Use",$CZ46="Custom Fuel",$CZ46="Fuel Use and Vehicle Distance")),($N46*$AD46*$AO46*$AP46),
AND(AD46&gt;0,$G46="Custom Vehicle"),$DA46*$AD46*$AO46*$AP46,
AND(AD46&gt;0,$CZ46="Vehicle Distance (e.g. Public or Freight Transport)"),$I46*$AD46*$AM46*$AN46,
AND(AD46&gt;0,$CZ46="Weight Distance (e.g. Freight Transport)"),($I46*$K46*$AD46*$AO46*$AP46),
AND(AD46&gt;0,$CZ46="Passenger Distance (e.g. Public Transport)"),$I46*$L46*$AD46*$AO46*$AP46,
AND(AD46&gt;0,$CZ46="Vehicle Distance (e.g. Road Transport)"),($I46*$AD46*$AO46*$AP46)),"")</f>
        <v/>
      </c>
      <c r="W46" s="164" t="str" cm="1">
        <f t="array" aca="1" ref="W46" ca="1">IFERROR(_xlfn.IFS(AND(ISNUMBER(R46),AA46=0),AA46&amp;" "&amp;"("&amp;AB46&amp;" CO2/"&amp;AC46&amp;")",AND(ISNUMBER(R46),AA46&gt;0),ROUND(AA46,INT(3-LOG(AA46)))&amp;" "&amp;"("&amp;AB46&amp;" CO2/"&amp;AC46&amp;")"),"")</f>
        <v/>
      </c>
      <c r="X46" s="164" t="str" cm="1">
        <f t="array" aca="1" ref="X46" ca="1">IFERROR(_xlfn.IFS(AND(ISNUMBER(S46), AG46=0),AG46&amp;" "&amp;"("&amp;AH46&amp;" CH4/"&amp;AI46&amp;")",AND(ISNUMBER(S46), AG46&gt;0),ROUND(AG46,INT(3-LOG(AG46)))&amp;" "&amp;"("&amp;AH46&amp;" CH4/"&amp;AI46&amp;")"),"")</f>
        <v/>
      </c>
      <c r="Y46" s="164" t="str" cm="1">
        <f t="array" aca="1" ref="Y46" ca="1">IFERROR(_xlfn.IFS(AND(ISNUMBER(T46), AJ46=0),AJ46&amp;" "&amp;"("&amp;AK46&amp;" CH4/"&amp;AL46&amp;")",AND(ISNUMBER(T46), AJ46&gt;0),ROUND(AJ46,INT(3-LOG(AJ46)))&amp;" "&amp;"("&amp;AK46&amp;" N2O/"&amp;AL46&amp;")"),"")</f>
        <v/>
      </c>
      <c r="Z46" s="245" t="str" cm="1">
        <f t="array" aca="1" ref="Z46" ca="1">IFERROR(_xlfn.IFS(AND(ISNUMBER(V46),AD46=0),AD46&amp;" "&amp;"("&amp;AE46&amp;" CO2/"&amp;AF46&amp;")",AND(ISNUMBER(V46),AD46&gt;0),ROUND(AD46,INT(3-LOG(AD46)))&amp;" "&amp;"("&amp;AE46&amp;" CO2/"&amp;AF46&amp;")"),"")</f>
        <v/>
      </c>
      <c r="AA46" s="240" t="str" cm="1">
        <f t="array" aca="1" ref="AA46" ca="1">IFERROR(_xlfn.IFS(
OR($G46="Fuel Use",$G46="Fuel Use and Vehicle Distance"),VLOOKUP($M46,INDIRECT("Ref_EF_ByFuel"&amp;"_"&amp;$C46),3,0),
$G46="Vehicle Distance (e.g. Road Transport)",VLOOKUP($H46,INDIRECT("Ref_EF_Vehicle_Distance"&amp;"_"&amp;$C46),3,0),
$G46="Vehicle Distance (e.g. Public or Freight Transport)",VLOOKUP($H46,INDIRECT("Ref_EF_Vehicle_Distance_S3"&amp;"_"&amp;$C46),3,0),
$G46="Custom Vehicle",VLOOKUP($H46,Tbl_vehical_Settings,2,0),
$G46="Custom Fuel",VLOOKUP($M46,Tbl_Fuel_Settings,2,0),
$G46="Weight Distance (e.g. Freight Transport)",VLOOKUP($H46,INDIRECT("Ref_EF_Weight_Distance"&amp;"_"&amp;$C46),3,0),
$G46="Passenger Distance (e.g. Public Transport)",VLOOKUP($H46,INDIRECT("Ref_EF_Public_Transport"&amp;"_"&amp;$C46),3,0)),"")</f>
        <v/>
      </c>
      <c r="AB46" s="31" t="str" cm="1">
        <f t="array" aca="1" ref="AB46" ca="1">IFERROR(_xlfn.IFS(
OR($G46="Fuel Use",$G46="Fuel Use and Vehicle Distance"),VLOOKUP($M46,INDIRECT("Ref_EF_ByFuel"&amp;"_"&amp;$C46),5,0),
$G46="Vehicle Distance (e.g. Road Transport)",VLOOKUP($H46,INDIRECT("Ref_EF_Vehicle_Distance"&amp;"_"&amp;$C46),5,0),
$G46="Vehicle Distance (e.g. Public or Freight Transport)",VLOOKUP($H46,INDIRECT("Ref_EF_Vehicle_Distance_S3"&amp;"_"&amp;$C46),5,0),
$G46="Custom Vehicle",VLOOKUP($H46,Tbl_vehical_Settings,6,0),
$G46="Custom Fuel",VLOOKUP($M46,Tbl_Fuel_Settings,6,0),
$G46="Weight Distance (e.g. Freight Transport)",VLOOKUP($H46,INDIRECT("Ref_EF_Weight_Distance"&amp;"_"&amp;$C46),5,0),
$G46="Passenger Distance (e.g. Public Transport)",VLOOKUP($H46,INDIRECT("Ref_EF_Public_Transport"&amp;"_"&amp;$C46),5,0)),"")</f>
        <v/>
      </c>
      <c r="AC46" s="31" t="str" cm="1">
        <f t="array" aca="1" ref="AC46" ca="1">IFERROR(_xlfn.IFS(
OR($G46="Fuel Use",$G46="Fuel Use and Vehicle Distance"),VLOOKUP($M46,INDIRECT("Ref_EF_ByFuel"&amp;"_"&amp;$C46),6,0),
$G46="Vehicle Distance (e.g. Road Transport)",VLOOKUP($H46,INDIRECT("Ref_EF_Vehicle_Distance"&amp;"_"&amp;$C46),6,0),
$G46="Vehicle Distance (e.g. Public or Freight Transport)",VLOOKUP($H46,INDIRECT("Ref_EF_Vehicle_Distance_S3"&amp;"_"&amp;$C46),6,0),
$G46="Custom Vehicle",VLOOKUP($H46,Tbl_vehical_Settings,7,0),
$G46="Custom Fuel",VLOOKUP($M46,Tbl_Fuel_Settings,7,0),
$G46="Weight Distance (e.g. Freight Transport)",VLOOKUP($H46,INDIRECT("Ref_EF_Weight_Distance"&amp;"_"&amp;$C46),6,0),
$G46="Passenger Distance (e.g. Public Transport)",VLOOKUP($H46,INDIRECT("Ref_EF_Public_Transport"&amp;"_"&amp;$C46),6,0)),"")</f>
        <v/>
      </c>
      <c r="AD46" s="31" t="str" cm="1">
        <f t="array" aca="1" ref="AD46" ca="1">IFERROR(_xlfn.IFS(
OR($G46="Fuel Use",$G46="Fuel Use and Vehicle Distance"),VLOOKUP($M46,INDIRECT("Ref_EF_ByFuel"&amp;"_"&amp;$C46),4,0),
$G46="Vehicle Distance (e.g. Road Transport)",VLOOKUP($H46,INDIRECT("Ref_EF_Vehicle_Distance"&amp;"_"&amp;$C46),4,0),
$G46="Vehicle Distance (e.g. Public or Freight Transport)",VLOOKUP($H46,INDIRECT("Ref_EF_Vehicle_Distance_S3"&amp;"_"&amp;$C46),4,0),
$G46="Custom Vehicle",VLOOKUP($H46,Tbl_vehical_Settings,5,0),
$G46="Custom Fuel",VLOOKUP($M46,Tbl_Fuel_Settings,5,0),
$G46="Weight Distance (e.g. Freight Transport)",VLOOKUP($H46,INDIRECT("Ref_EF_Weight_Distance"&amp;"_"&amp;$C46),4,0),
$G46="Passenger Distance (e.g. Public Transport)",VLOOKUP($H46,INDIRECT("Ref_EF_Public_Transport"&amp;"_"&amp;$C46),4,0)),"")</f>
        <v/>
      </c>
      <c r="AE46" s="31" t="str" cm="1">
        <f t="array" aca="1" ref="AE46" ca="1">IFERROR(_xlfn.IFS(
OR($G46="Fuel Use",$G46="Fuel Use and Vehicle Distance"),VLOOKUP($M46,INDIRECT("Ref_EF_ByFuel"&amp;"_"&amp;$C46),5,0),
$G46="Vehicle Distance (e.g. Road Transport)",VLOOKUP($H46,INDIRECT("Ref_EF_Vehicle_Distance"&amp;"_"&amp;$C46),5,0),
$G46="Vehicle Distance (e.g. Public or Freight Transport)",VLOOKUP($H46,INDIRECT("Ref_EF_Vehicle_Distance_S3"&amp;"_"&amp;$C46),5,0),
$G46="Custom Vehicle",VLOOKUP($H46,Tbl_vehical_Settings,6,0),
$G46="Custom Fuel",VLOOKUP($M46,Tbl_Fuel_Settings,6,0),
$G46="Weight Distance (e.g. Freight Transport)",VLOOKUP($H46,INDIRECT("Ref_EF_Weight_Distance"&amp;"_"&amp;$C46),5,0),
$G46="Passenger Distance (e.g. Public Transport)",VLOOKUP($H46,INDIRECT("Ref_EF_Public_Transport"&amp;"_"&amp;$C46),5,0)),"")</f>
        <v/>
      </c>
      <c r="AF46" s="31" t="str" cm="1">
        <f t="array" aca="1" ref="AF46" ca="1">IFERROR(_xlfn.IFS(
OR($G46="Fuel Use",$G46="Fuel Use and Vehicle Distance"),VLOOKUP($M46,INDIRECT("Ref_EF_ByFuel"&amp;"_"&amp;$C46),6,0),
$G46="Vehicle Distance (e.g. Road Transport)",VLOOKUP($H46,INDIRECT("Ref_EF_Vehicle_Distance"&amp;"_"&amp;$C46),6,0),
$G46="Vehicle Distance (e.g. Public or Freight Transport)",VLOOKUP($H46,INDIRECT("Ref_EF_Vehicle_Distance_S3"&amp;"_"&amp;$C46),6,0),
$G46="Custom Vehicle",VLOOKUP($H46,Tbl_vehical_Settings,7,0),
$G46="Custom Fuel",VLOOKUP($M46,Tbl_Fuel_Settings,7,0),
$G46="Weight Distance (e.g. Freight Transport)",VLOOKUP($H46,INDIRECT("Ref_EF_Weight_Distance"&amp;"_"&amp;$C46),6,0),
$G46="Passenger Distance (e.g. Public Transport)",VLOOKUP($H46,INDIRECT("Ref_EF_Public_Transport"&amp;"_"&amp;$C46),6,0)),"")</f>
        <v/>
      </c>
      <c r="AG46" s="31" t="str" cm="1">
        <f t="array" aca="1" ref="AG46" ca="1">IFERROR(_xlfn.IFS(
AND($G46="Fuel Use",$E46&lt;&gt;"Road"),VLOOKUP($H46,INDIRECT("Ref_EF_ByFuel_CH4"&amp;"_"&amp;$C46),3,0),
$G46="Vehicle Distance (e.g. Road Transport)",VLOOKUP($H46,INDIRECT("Ref_EF_Vehicle_Distance"&amp;"_"&amp;$C46),7,0),
$G46="Vehicle Distance (e.g. Public or Freight Transport)",VLOOKUP($H46,INDIRECT("Ref_EF_Vehicle_Distance_S3"&amp;"_"&amp;$C46),7,0),
$G46="Fuel Use and Vehicle Distance",VLOOKUP($H46,INDIRECT("Ref_EF_Fuel_Vehicle_Distance"&amp;"_"&amp;$C46),3,0),
$G46="Custom Vehicle",VLOOKUP($H46,Tbl_vehical_Settings,3,0),
$G46="Custom Fuel",VLOOKUP($M46,Tbl_Fuel_Settings,3,0),
$G46="Weight Distance (e.g. Freight Transport)",VLOOKUP($H46,INDIRECT("Ref_EF_Weight_Distance_CH4"&amp;"_"&amp;$C46),3,0),
$G46="Passenger Distance (e.g. Public Transport)",VLOOKUP($H46,INDIRECT("Ref_EF_Public_Transport_CH4"&amp;"_"&amp;$C46),7,0)),"")</f>
        <v/>
      </c>
      <c r="AH46" s="31" t="str" cm="1">
        <f t="array" aca="1" ref="AH46" ca="1">IFERROR(_xlfn.IFS(
AND($G46="Fuel Use",$E46&lt;&gt;"Road"),VLOOKUP($H46,INDIRECT("Ref_EF_ByFuel_CH4"&amp;"_"&amp;$C46),4,0),
$G46="Vehicle Distance (e.g. Road Transport)",VLOOKUP($H46,INDIRECT("Ref_EF_Vehicle_Distance"&amp;"_"&amp;$C46),8,0),
$G46="Vehicle Distance (e.g. Public or Freight Transport)",VLOOKUP($H46,INDIRECT("Ref_EF_Vehicle_Distance_S3"&amp;"_"&amp;$C46),8,0),
$G46="Fuel Use and Vehicle Distance",VLOOKUP($H46,INDIRECT("Ref_EF_Fuel_Vehicle_Distance"&amp;"_"&amp;$C46),4,0),
$G46="Custom Vehicle",VLOOKUP($H46,Tbl_vehical_Settings,6,0),
$G46="Custom Fuel",VLOOKUP($M46,Tbl_Fuel_Settings,6,0),
$G46="Weight Distance (e.g. Freight Transport)",VLOOKUP($H46,INDIRECT("Ref_EF_Weight_Distance_CH4"&amp;"_"&amp;$C46),4,0),
$G46="Passenger Distance (e.g. Public Transport)",VLOOKUP($H46,INDIRECT("Ref_EF_Public_Transport_CH4"&amp;"_"&amp;$C46),8,0)),"")</f>
        <v/>
      </c>
      <c r="AI46" s="31" t="str" cm="1">
        <f t="array" aca="1" ref="AI46" ca="1">IFERROR(_xlfn.IFS(
AND($G46="Fuel Use",$E46&lt;&gt;"Road"),VLOOKUP($H46,INDIRECT("Ref_EF_ByFuel_CH4"&amp;"_"&amp;$C46),5,0),
$G46="Vehicle Distance (e.g. Road Transport)",VLOOKUP($H46,INDIRECT("Ref_EF_Vehicle_Distance"&amp;"_"&amp;$C46),9,0),
$G46="Vehicle Distance (e.g. Public or Freight Transport)",VLOOKUP($H46,INDIRECT("Ref_EF_Vehicle_Distance_S3"&amp;"_"&amp;$C46),9,0),
$G46="Fuel Use and Vehicle Distance",VLOOKUP($H46,INDIRECT("Ref_EF_Fuel_Vehicle_Distance"&amp;"_"&amp;$C46),5,0),
$G46="Custom Vehicle",VLOOKUP($H46,Tbl_vehical_Settings,7,0),
$G46="Custom Fuel",VLOOKUP($M46,Tbl_Fuel_Settings,7,0),
$G46="Weight Distance (e.g. Freight Transport)",VLOOKUP($H46,INDIRECT("Ref_EF_Weight_Distance_CH4"&amp;"_"&amp;$C46),5,0),
$G46="Passenger Distance (e.g. Public Transport)",VLOOKUP($H46,INDIRECT("Ref_EF_Public_Transport_CH4"&amp;"_"&amp;$C46),9,0)),"")</f>
        <v/>
      </c>
      <c r="AJ46" s="31" t="str" cm="1">
        <f t="array" aca="1" ref="AJ46" ca="1">IFERROR(_xlfn.IFS(
AND($G46="Fuel Use",$E46&lt;&gt;"Road"),VLOOKUP($H46,INDIRECT("Ref_EF_ByFuel_CH4"&amp;"_"&amp;$C46),6,0),
$G46="Vehicle Distance (e.g. Road Transport)",VLOOKUP($H46,INDIRECT("Ref_EF_Vehicle_Distance"&amp;"_"&amp;$C46),10,0),
$G46="Vehicle Distance (e.g. Public or Freight Transport)",VLOOKUP($H46,INDIRECT("Ref_EF_Vehicle_Distance_S3"&amp;"_"&amp;$C46),10,0),
$G46="Fuel Use and Vehicle Distance",VLOOKUP($H46,INDIRECT("Ref_EF_Fuel_Vehicle_Distance"&amp;"_"&amp;$C46),6,0),
$G46="Custom Vehicle",VLOOKUP($H46,Tbl_vehical_Settings,4,0),
$G46="Custom Fuel",VLOOKUP($M46,Tbl_Fuel_Settings,4,0),
$G46="Weight Distance (e.g. Freight Transport)",VLOOKUP($H46,INDIRECT("Ref_EF_Weight_Distance_CH4"&amp;"_"&amp;$C46),6,0),
$G46="Passenger Distance (e.g. Public Transport)",VLOOKUP($H46,INDIRECT("Ref_EF_Public_Transport_CH4"&amp;"_"&amp;$C46),10,0)),"")</f>
        <v/>
      </c>
      <c r="AK46" s="31" t="str" cm="1">
        <f t="array" aca="1" ref="AK46" ca="1">IFERROR(_xlfn.IFS(
AND($G46="Fuel Use",$E46&lt;&gt;"Road"),VLOOKUP($H46,INDIRECT("Ref_EF_ByFuel_CH4"&amp;"_"&amp;$C46),7,0),
$G46="Vehicle Distance (e.g. Road Transport)",VLOOKUP($H46,INDIRECT("Ref_EF_Vehicle_Distance"&amp;"_"&amp;$C46),11,0),
$G46="Vehicle Distance (e.g. Public or Freight Transport)",VLOOKUP($H46,INDIRECT("Ref_EF_Vehicle_Distance_S3"&amp;"_"&amp;$C46),11,0),
$G46="Fuel Use and Vehicle Distance",VLOOKUP($H46,INDIRECT("Ref_EF_Fuel_Vehicle_Distance"&amp;"_"&amp;$C46),7,0),
$G46="Custom Vehicle",VLOOKUP($H46,Tbl_vehical_Settings,6,0),
$G46="Custom Fuel",VLOOKUP($M46,Tbl_Fuel_Settings,6,0),
$G46="Weight Distance (e.g. Freight Transport)",VLOOKUP($H46,INDIRECT("Ref_EF_Weight_Distance_CH4"&amp;"_"&amp;$C46),7,0),
$G46="Passenger Distance (e.g. Public Transport)",VLOOKUP($H46,INDIRECT("Ref_EF_Public_Transport_CH4"&amp;"_"&amp;$C46),11,0)),"")</f>
        <v/>
      </c>
      <c r="AL46" s="31" t="str" cm="1">
        <f t="array" aca="1" ref="AL46" ca="1">IFERROR(_xlfn.IFS(
AND($G46="Fuel Use",$E46&lt;&gt;"Road"),VLOOKUP($H46,INDIRECT("Ref_EF_ByFuel_CH4"&amp;"_"&amp;$C46),8,0),
$G46="Vehicle Distance (e.g. Road Transport)",VLOOKUP($H46,INDIRECT("Ref_EF_Vehicle_Distance"&amp;"_"&amp;$C46),12,0),
$G46="Vehicle Distance (e.g. Public or Freight Transport)",VLOOKUP($H46,INDIRECT("Ref_EF_Vehicle_Distance_S3"&amp;"_"&amp;$C46),12,0),
$G46="Fuel Use and Vehicle Distance",VLOOKUP($H46,INDIRECT("Ref_EF_Fuel_Vehicle_Distance"&amp;"_"&amp;$C46),8,0),
$G46="Custom Vehicle",VLOOKUP($H46,Tbl_vehical_Settings,7,0),
$G46="Custom Fuel",VLOOKUP($M46,Tbl_Fuel_Settings,7,0),
$G46="Weight Distance (e.g. Freight Transport)",VLOOKUP($H46,INDIRECT("Ref_EF_Weight_Distance_CH4"&amp;"_"&amp;$C46),8,0),
$G46="Passenger Distance (e.g. Public Transport)",VLOOKUP($H46,INDIRECT("Ref_EF_Public_Transport_CH4"&amp;"_"&amp;$C46),12,0)),"")</f>
        <v/>
      </c>
      <c r="AM46" s="31" t="e">
        <f ca="1">INDEX(Ref_Master_Unit_Table,MATCH($AB46,REF_To_Unit,0),MATCH('Reference - Lookup and Unit'!$A$11,Ref_From_Units,0))</f>
        <v>#N/A</v>
      </c>
      <c r="AN46" s="31" t="e">
        <f t="shared" ca="1" si="0"/>
        <v>#N/A</v>
      </c>
      <c r="AO46" s="31" t="e">
        <f ca="1">INDEX(Ref_Master_Unit_Table,MATCH($AE46,REF_To_Unit,0),MATCH('Reference - Lookup and Unit'!$A$11,Ref_From_Units,0))</f>
        <v>#N/A</v>
      </c>
      <c r="AP46" s="31" t="e">
        <f t="shared" ca="1" si="59"/>
        <v>#N/A</v>
      </c>
      <c r="AQ46" s="31" t="e">
        <f ca="1">INDEX(Ref_Master_Unit_Table,MATCH($AH46,REF_To_Unit,0),MATCH('Reference - Lookup and Unit'!$A$11,Ref_From_Units,0))</f>
        <v>#N/A</v>
      </c>
      <c r="AR46" s="31" t="e">
        <f t="shared" ca="1" si="60"/>
        <v>#N/A</v>
      </c>
      <c r="AS46" s="31" t="e">
        <f ca="1">INDEX(Ref_Master_Unit_Table,MATCH($AK46,REF_To_Unit,0),MATCH('Reference - Lookup and Unit'!$A$11,Ref_From_Units,0))</f>
        <v>#N/A</v>
      </c>
      <c r="AT46" s="31" t="e">
        <f t="shared" ca="1" si="61"/>
        <v>#N/A</v>
      </c>
      <c r="AU46" s="31" t="e" cm="1">
        <f t="array" aca="1" ref="AU46"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46" s="31">
        <f t="shared" ca="1" si="48"/>
        <v>27.9</v>
      </c>
      <c r="AW46" s="31">
        <f t="shared" ca="1" si="49"/>
        <v>273</v>
      </c>
      <c r="AX46" s="31" t="e" cm="1">
        <f t="array" aca="1" ref="AX46"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46" s="25" t="e" cm="1">
        <f t="array" ref="AY46">_xlfn.IFS(
AND($E46&lt;&gt;"",$G46="Custom Fuel"),("Settings_Custom_Fuels"),
AND($E46&lt;&gt;"",$G46="Custom vehicle"),("Settings_Custom_Vehicle"),
AND($E46&lt;&gt;"",$G46="Fuel Use"),("Ref_DD_vehicle_FuelUse"&amp;"_"&amp;C46&amp;"_"&amp;E46),
AND($E46&lt;&gt;"",$G46="Fuel Use and Vehicle Distance"),("Ref_DD_Fuel_VehicleDistance"&amp;"_"&amp;C46&amp;"_"&amp;E46),
AND($E46&lt;&gt;"",$G46="Vehicle Distance (e.g. Road Transport)"),("Ref_DD_vehicle_VehicleDistance"&amp;"_"&amp;C46&amp;"_"&amp;E46),
AND($E46&lt;&gt;"",$G46="Weight Distance (e.g. Freight Transport)"),("Ref_DD_vehicle_WeightDistance"&amp;"_"&amp;C46&amp;"_"&amp;E46),
AND($E46&lt;&gt;"",$G46="Vehicle Distance (e.g. Public or Freight Transport)"),("Ref_DD_vehicle_DistanceS3"&amp;"_"&amp;C46),
AND($E46&lt;&gt;"",$G46="Passenger Distance (e.g. Public Transport)"),("Ref_DD_vehicle_Passenger"&amp;"_"&amp;C46&amp;"_"&amp;E46),
AND($E46="",$G46="Fuel Use"),("Ref_DD_vehicle_FuelUse"&amp;"_"&amp;C46),
AND($E46="",OR($G46="Vehicle Distance (e.g. Road Transport)",$G46="Fuel Use and Vehicle Distance")),("Ref_DD_vehicle_VehicleDistance"&amp;"_"&amp;C46),
AND($E46="",$G46="Weight Distance (e.g. Freight Transport)"),("Ref_DD_vehicle_WeightDistance"&amp;"_"&amp;C46),
AND($E46="",$G46="Vehicle Distance (e.g. Public or Freight Transport)"),("Ref_DD_vehicle_DistanceS3"&amp;"_"&amp;C46),
AND($E46="",$G46="Passenger Distance (e.g. Public Transport)"),("Ref_DD_vehicle_Passenger"&amp;"_"&amp;C46))</f>
        <v>#N/A</v>
      </c>
      <c r="AZ46" s="25" t="b">
        <f t="shared" ca="1" si="4"/>
        <v>0</v>
      </c>
      <c r="BA46" s="25" t="str">
        <f t="shared" si="5"/>
        <v/>
      </c>
      <c r="BB46" s="25" t="str">
        <f t="shared" si="6"/>
        <v/>
      </c>
      <c r="BC46" s="25" t="str">
        <f t="shared" si="50"/>
        <v/>
      </c>
      <c r="BD46" s="25" t="str">
        <f t="shared" si="51"/>
        <v/>
      </c>
      <c r="BE46" s="25" t="str">
        <f t="shared" si="52"/>
        <v/>
      </c>
      <c r="BF46" s="25" t="str">
        <f t="shared" si="53"/>
        <v/>
      </c>
      <c r="BG46" s="25" t="str">
        <f t="shared" si="7"/>
        <v/>
      </c>
      <c r="BH46" s="25" t="str">
        <f t="shared" si="8"/>
        <v/>
      </c>
      <c r="BI46" s="25" t="str">
        <f t="shared" si="54"/>
        <v/>
      </c>
      <c r="BJ46" s="25" t="str">
        <f t="shared" si="55"/>
        <v/>
      </c>
      <c r="BK46" s="25" t="str">
        <f t="shared" si="56"/>
        <v/>
      </c>
      <c r="BL46" s="25" t="str">
        <f t="shared" si="57"/>
        <v/>
      </c>
      <c r="BM46" s="25" t="str">
        <f t="shared" si="9"/>
        <v/>
      </c>
      <c r="BN46" s="25" t="str">
        <f t="shared" ca="1" si="10"/>
        <v/>
      </c>
      <c r="BO46" s="25" t="str">
        <f t="shared" si="11"/>
        <v/>
      </c>
      <c r="BP46" s="25" t="str">
        <f t="shared" si="12"/>
        <v/>
      </c>
      <c r="BQ46" s="25" t="str">
        <f t="shared" si="13"/>
        <v/>
      </c>
      <c r="BR46" s="25" t="str">
        <f t="shared" si="14"/>
        <v/>
      </c>
      <c r="BS46" s="25" t="str">
        <f t="shared" si="15"/>
        <v/>
      </c>
      <c r="BT46" s="25" t="str">
        <f t="shared" si="16"/>
        <v/>
      </c>
      <c r="BU46" s="25" t="str">
        <f t="shared" si="17"/>
        <v/>
      </c>
      <c r="BV46" s="25" t="str">
        <f t="shared" si="18"/>
        <v/>
      </c>
      <c r="BW46" s="25" t="str">
        <f t="shared" si="19"/>
        <v/>
      </c>
      <c r="BX46" s="25" t="str">
        <f t="shared" si="20"/>
        <v/>
      </c>
      <c r="BY46" s="25" t="str">
        <f t="shared" si="21"/>
        <v/>
      </c>
      <c r="BZ46" s="25" t="str">
        <f t="shared" si="22"/>
        <v/>
      </c>
      <c r="CA46" s="25" t="str">
        <f t="shared" si="23"/>
        <v/>
      </c>
      <c r="CB46" s="25" t="str">
        <f t="shared" si="24"/>
        <v/>
      </c>
      <c r="CC46" s="25" t="str">
        <f t="shared" si="25"/>
        <v/>
      </c>
      <c r="CD46" s="25" t="str">
        <f t="shared" si="26"/>
        <v/>
      </c>
      <c r="CE46" s="25" t="str">
        <f t="shared" si="27"/>
        <v/>
      </c>
      <c r="CF46" s="25" t="str">
        <f t="shared" si="28"/>
        <v/>
      </c>
      <c r="CG46" s="25" t="str">
        <f t="shared" si="29"/>
        <v/>
      </c>
      <c r="CH46" s="25" t="str">
        <f t="shared" si="30"/>
        <v/>
      </c>
      <c r="CI46" s="25" t="str">
        <f t="shared" si="31"/>
        <v/>
      </c>
      <c r="CJ46" s="25" t="str">
        <f t="shared" si="32"/>
        <v/>
      </c>
      <c r="CK46" s="25" t="str">
        <f t="shared" si="33"/>
        <v/>
      </c>
      <c r="CL46" s="25" t="str">
        <f t="shared" si="34"/>
        <v/>
      </c>
      <c r="CM46" s="25" t="str">
        <f t="shared" si="35"/>
        <v/>
      </c>
      <c r="CN46" s="25" t="str">
        <f t="shared" si="36"/>
        <v/>
      </c>
      <c r="CO46" s="25" t="str">
        <f t="shared" si="37"/>
        <v/>
      </c>
      <c r="CP46" s="25" t="str">
        <f t="shared" si="38"/>
        <v/>
      </c>
      <c r="CQ46" s="25" t="str">
        <f t="shared" si="39"/>
        <v/>
      </c>
      <c r="CR46" s="25" t="str">
        <f t="shared" si="40"/>
        <v/>
      </c>
      <c r="CS46" s="25" t="str">
        <f t="shared" si="41"/>
        <v/>
      </c>
      <c r="CT46" s="25" t="str">
        <f t="shared" si="42"/>
        <v/>
      </c>
      <c r="CU46" s="25" t="str">
        <f t="shared" si="43"/>
        <v/>
      </c>
      <c r="CV46" s="25" t="str">
        <f t="shared" si="44"/>
        <v/>
      </c>
      <c r="CW46" s="25" t="str">
        <f t="shared" si="45"/>
        <v/>
      </c>
      <c r="CX46" s="25" t="str" cm="1">
        <f t="array" ref="CX46">_xlfn.IFNA(_xlfn.IFS(
$G46="Weight Distance (e.g. Freight Transport)","Ref_DD_WeightDistanceUnits",
$G46="Passenger Distance (e.g. Public Transport)","Ref_DD_PasengerDistanceUnits",
$G46="Vehicle Distance (e.g. Road Transport)", "Ref_DD_DistanceUnit",
$G46="Vehicle Distance (e.g. Public or Freight Transport)","Ref_DD_DistanceUnit",
$G46="Fuel Use and Vehicle Distance", "Ref_DD_DistanceUnit",
$G46="Custom Vehicle",VLOOKUP($H46,'2. Settings'!$B$39:$I$54,8,FALSE)),"")</f>
        <v/>
      </c>
      <c r="CY46" s="27" t="str">
        <f ca="1">IF(AND(ISERROR(#REF!*$AU46)=TRUE,ISERROR((S46/1000)*$AV46)=TRUE,ISERROR((T46/1000)*$AW46)=FALSE),((T46/1000)*$AW46),"")</f>
        <v/>
      </c>
      <c r="CZ46" s="27" cm="1">
        <f t="array" ref="CZ46">IFERROR(_xlfn.IFS(
AND($G46="Custom vehicle",OR($J46="Passenger Mile",$J46="Passenger Kilometer")),"Passenger Distance (e.g. Public Transport)",
AND($G46="Custom vehicle",OR($J46="Tonne Mile",$J46="Tonne Kilometer",$J46="Short Ton Kilometer",$J46="Short Ton Mile")),"Weight Distance (e.g. Freight Transport)",
AND($G46="Custom vehicle",OR($J46="Mile",$J46="Kilometer")),"Vehicle Distance (e.g. Road Transport)",
$G46&lt;&gt;"Custom vehicle",$G46),"")</f>
        <v>0</v>
      </c>
      <c r="DA46" s="27" t="str" cm="1">
        <f t="array" ref="DA46">IFERROR(_xlfn.IFS(OR(J46="Tonne Kilometer",J46="Tonne Mile",J46="Short Ton Mile",J46="Short Ton Kilometer"),I46*K46,OR(J46="Passenger Kilometer",J46="Passenger Mile"),I46*L46,OR(J46="Kilometer",J46="Mile"),$I46),"")</f>
        <v/>
      </c>
    </row>
    <row r="47" spans="2:105" x14ac:dyDescent="0.25">
      <c r="B47" s="244"/>
      <c r="C47" s="71" t="str" cm="1">
        <f t="array" ref="C47">IFERROR(_xlfn.IFS($D47="Other", D47&amp;"_" &amp;Ref_Other_to,OR($D47="UK", $D47="US"),$D47),"")</f>
        <v/>
      </c>
      <c r="D47" s="71"/>
      <c r="E47" s="71"/>
      <c r="F47" s="71"/>
      <c r="G47" s="72"/>
      <c r="H47" s="72"/>
      <c r="I47" s="73"/>
      <c r="J47" s="73"/>
      <c r="K47" s="73"/>
      <c r="L47" s="73"/>
      <c r="M47" s="74"/>
      <c r="N47" s="75"/>
      <c r="O47" s="71"/>
      <c r="P47" s="165" t="str">
        <f t="shared" si="58"/>
        <v/>
      </c>
      <c r="Q47" s="166" t="str">
        <f t="shared" si="46"/>
        <v/>
      </c>
      <c r="R47" s="76" t="str" cm="1">
        <f t="array" aca="1" ref="R47" ca="1">IFERROR(_xlfn.IFS(
AND(AA47&gt;0, OR($G47="Fuel Use",$G47="Custom Fuel")),$N47*$AA47*$AM47*$AN47,
AND(AA47&gt;0,$CZ47="Vehicle Distance (e.g. Road Transport)"),$I47*$AA47*$AM47*$AN47,
AND(AA47&gt;0,$CZ47="Vehicle Distance (e.g. Public or Freight Transport)"),$I47*$AA47*$AM47*$AN47,
AND(AA47&gt;0,$CZ47="Fuel Use and Vehicle Distance"),$N47*$AA47*$AM47*$AN47,
AND(AA47&gt;0,$CZ47="Passenger Distance (e.g. Public Transport)"),$DA47*$AA47*$AM47*$AN47,
AND(AA47&gt;0,$CZ47="Weight Distance (e.g. Freight Transport)"),$DA47*$AA47*$AM47*$AN47),"")</f>
        <v/>
      </c>
      <c r="S47" s="77" t="str" cm="1">
        <f t="array" aca="1" ref="S47" ca="1">IFERROR(_xlfn.IFS(
AND(AG47&gt;-1, $G47="Fuel Use and Vehicle Distance"),$I47*$AG47*$AQ47*$AR47,
AND(AG47&gt;-1, $G47="Vehicle Distance (e.g. Road Transport)"),$I47*$AG47*$AQ47*$AR47,
AND(AG47&gt;-1, $CZ47="Vehicle Distance (e.g. Public or Freight Transport)"),$I47*$AG47*$AQ47*$AR47,
AND(AG47&gt;-1, OR($G47="Fuel Use",$G47="Custom Fuel")), $N47*$AG47*$AQ47*$AR47*1000,
AND(AG47&gt;-1, $G47="Custom Vehicle"),$DA47*$AG47*$AQ47*$AR47*1000,
AND(AG47&gt;-1, AND($G47&lt;&gt;"Custom Vehicle",$CZ47="Weight Distance (e.g. Freight Transport)")),$DA47*$AG47*$AQ47*$AR47*1000,
AND(AG47&gt;-1, AND($G47&lt;&gt;"Custom Vehicle",$CZ47="Passenger Distance (e.g. Public Transport)")), $DA47*$AG47*$AQ47*$AR47*1000),"")</f>
        <v/>
      </c>
      <c r="T47" s="77" t="str" cm="1">
        <f t="array" aca="1" ref="T47" ca="1">IFERROR(_xlfn.IFS(
AND(AJ47&gt;0,$G47="Fuel Use and Vehicle Distance"),$I47*$AJ47*$AS47*$AT47,
AND(AJ47&gt;0,$G47="Vehicle Distance (e.g. Road Transport)"),$I47*$AJ47*$AS47*$AT47,
AND(AJ47&gt;0,$G47="Vehicle Distance (e.g. Public or Freight Transport)"),$I47*$AJ47*$AS47*$AT47,
AND(AJ47&gt;0,OR($G47="Fuel Use",$G47="Custom Fuel")), $N47*$AJ47*$AS47*$AT47*1000,
AND(AJ47&gt;0,$G47="Custom Vehicle"),$DA47*$AJ47*$AS47*$AT47*1000,
AND(AJ47&gt;0,AND($G47&lt;&gt;"Custom Vehicle",$CZ47="Weight Distance (e.g. Freight Transport)")),$DA47*$AJ47*$AS47*$AT47*1000,
AND(AJ47&gt;0,AND($G47&lt;&gt;"Custom Vehicle",$CZ47="Passenger Distance (e.g. Public Transport)")), $DA47*$AJ47*$AS47*$AT47*1000),"")</f>
        <v/>
      </c>
      <c r="U47" s="78" t="str">
        <f t="shared" ca="1" si="47"/>
        <v/>
      </c>
      <c r="V47" s="161" t="str" cm="1">
        <f t="array" aca="1" ref="V47" ca="1">IFERROR(_xlfn.IFS(
AND(AD47&gt;0,OR($CZ47="Fuel Use",$CZ47="Custom Fuel",$CZ47="Fuel Use and Vehicle Distance")),($N47*$AD47*$AO47*$AP47),
AND(AD47&gt;0,$G47="Custom Vehicle"),$DA47*$AD47*$AO47*$AP47,
AND(AD47&gt;0,$CZ47="Vehicle Distance (e.g. Public or Freight Transport)"),$I47*$AD47*$AM47*$AN47,
AND(AD47&gt;0,$CZ47="Weight Distance (e.g. Freight Transport)"),($I47*$K47*$AD47*$AO47*$AP47),
AND(AD47&gt;0,$CZ47="Passenger Distance (e.g. Public Transport)"),$I47*$L47*$AD47*$AO47*$AP47,
AND(AD47&gt;0,$CZ47="Vehicle Distance (e.g. Road Transport)"),($I47*$AD47*$AO47*$AP47)),"")</f>
        <v/>
      </c>
      <c r="W47" s="164" t="str" cm="1">
        <f t="array" aca="1" ref="W47" ca="1">IFERROR(_xlfn.IFS(AND(ISNUMBER(R47),AA47=0),AA47&amp;" "&amp;"("&amp;AB47&amp;" CO2/"&amp;AC47&amp;")",AND(ISNUMBER(R47),AA47&gt;0),ROUND(AA47,INT(3-LOG(AA47)))&amp;" "&amp;"("&amp;AB47&amp;" CO2/"&amp;AC47&amp;")"),"")</f>
        <v/>
      </c>
      <c r="X47" s="164" t="str" cm="1">
        <f t="array" aca="1" ref="X47" ca="1">IFERROR(_xlfn.IFS(AND(ISNUMBER(S47), AG47=0),AG47&amp;" "&amp;"("&amp;AH47&amp;" CH4/"&amp;AI47&amp;")",AND(ISNUMBER(S47), AG47&gt;0),ROUND(AG47,INT(3-LOG(AG47)))&amp;" "&amp;"("&amp;AH47&amp;" CH4/"&amp;AI47&amp;")"),"")</f>
        <v/>
      </c>
      <c r="Y47" s="164" t="str" cm="1">
        <f t="array" aca="1" ref="Y47" ca="1">IFERROR(_xlfn.IFS(AND(ISNUMBER(T47), AJ47=0),AJ47&amp;" "&amp;"("&amp;AK47&amp;" CH4/"&amp;AL47&amp;")",AND(ISNUMBER(T47), AJ47&gt;0),ROUND(AJ47,INT(3-LOG(AJ47)))&amp;" "&amp;"("&amp;AK47&amp;" N2O/"&amp;AL47&amp;")"),"")</f>
        <v/>
      </c>
      <c r="Z47" s="245" t="str" cm="1">
        <f t="array" aca="1" ref="Z47" ca="1">IFERROR(_xlfn.IFS(AND(ISNUMBER(V47),AD47=0),AD47&amp;" "&amp;"("&amp;AE47&amp;" CO2/"&amp;AF47&amp;")",AND(ISNUMBER(V47),AD47&gt;0),ROUND(AD47,INT(3-LOG(AD47)))&amp;" "&amp;"("&amp;AE47&amp;" CO2/"&amp;AF47&amp;")"),"")</f>
        <v/>
      </c>
      <c r="AA47" s="240" t="str" cm="1">
        <f t="array" aca="1" ref="AA47" ca="1">IFERROR(_xlfn.IFS(
OR($G47="Fuel Use",$G47="Fuel Use and Vehicle Distance"),VLOOKUP($M47,INDIRECT("Ref_EF_ByFuel"&amp;"_"&amp;$C47),3,0),
$G47="Vehicle Distance (e.g. Road Transport)",VLOOKUP($H47,INDIRECT("Ref_EF_Vehicle_Distance"&amp;"_"&amp;$C47),3,0),
$G47="Vehicle Distance (e.g. Public or Freight Transport)",VLOOKUP($H47,INDIRECT("Ref_EF_Vehicle_Distance_S3"&amp;"_"&amp;$C47),3,0),
$G47="Custom Vehicle",VLOOKUP($H47,Tbl_vehical_Settings,2,0),
$G47="Custom Fuel",VLOOKUP($M47,Tbl_Fuel_Settings,2,0),
$G47="Weight Distance (e.g. Freight Transport)",VLOOKUP($H47,INDIRECT("Ref_EF_Weight_Distance"&amp;"_"&amp;$C47),3,0),
$G47="Passenger Distance (e.g. Public Transport)",VLOOKUP($H47,INDIRECT("Ref_EF_Public_Transport"&amp;"_"&amp;$C47),3,0)),"")</f>
        <v/>
      </c>
      <c r="AB47" s="31" t="str" cm="1">
        <f t="array" aca="1" ref="AB47" ca="1">IFERROR(_xlfn.IFS(
OR($G47="Fuel Use",$G47="Fuel Use and Vehicle Distance"),VLOOKUP($M47,INDIRECT("Ref_EF_ByFuel"&amp;"_"&amp;$C47),5,0),
$G47="Vehicle Distance (e.g. Road Transport)",VLOOKUP($H47,INDIRECT("Ref_EF_Vehicle_Distance"&amp;"_"&amp;$C47),5,0),
$G47="Vehicle Distance (e.g. Public or Freight Transport)",VLOOKUP($H47,INDIRECT("Ref_EF_Vehicle_Distance_S3"&amp;"_"&amp;$C47),5,0),
$G47="Custom Vehicle",VLOOKUP($H47,Tbl_vehical_Settings,6,0),
$G47="Custom Fuel",VLOOKUP($M47,Tbl_Fuel_Settings,6,0),
$G47="Weight Distance (e.g. Freight Transport)",VLOOKUP($H47,INDIRECT("Ref_EF_Weight_Distance"&amp;"_"&amp;$C47),5,0),
$G47="Passenger Distance (e.g. Public Transport)",VLOOKUP($H47,INDIRECT("Ref_EF_Public_Transport"&amp;"_"&amp;$C47),5,0)),"")</f>
        <v/>
      </c>
      <c r="AC47" s="31" t="str" cm="1">
        <f t="array" aca="1" ref="AC47" ca="1">IFERROR(_xlfn.IFS(
OR($G47="Fuel Use",$G47="Fuel Use and Vehicle Distance"),VLOOKUP($M47,INDIRECT("Ref_EF_ByFuel"&amp;"_"&amp;$C47),6,0),
$G47="Vehicle Distance (e.g. Road Transport)",VLOOKUP($H47,INDIRECT("Ref_EF_Vehicle_Distance"&amp;"_"&amp;$C47),6,0),
$G47="Vehicle Distance (e.g. Public or Freight Transport)",VLOOKUP($H47,INDIRECT("Ref_EF_Vehicle_Distance_S3"&amp;"_"&amp;$C47),6,0),
$G47="Custom Vehicle",VLOOKUP($H47,Tbl_vehical_Settings,7,0),
$G47="Custom Fuel",VLOOKUP($M47,Tbl_Fuel_Settings,7,0),
$G47="Weight Distance (e.g. Freight Transport)",VLOOKUP($H47,INDIRECT("Ref_EF_Weight_Distance"&amp;"_"&amp;$C47),6,0),
$G47="Passenger Distance (e.g. Public Transport)",VLOOKUP($H47,INDIRECT("Ref_EF_Public_Transport"&amp;"_"&amp;$C47),6,0)),"")</f>
        <v/>
      </c>
      <c r="AD47" s="31" t="str" cm="1">
        <f t="array" aca="1" ref="AD47" ca="1">IFERROR(_xlfn.IFS(
OR($G47="Fuel Use",$G47="Fuel Use and Vehicle Distance"),VLOOKUP($M47,INDIRECT("Ref_EF_ByFuel"&amp;"_"&amp;$C47),4,0),
$G47="Vehicle Distance (e.g. Road Transport)",VLOOKUP($H47,INDIRECT("Ref_EF_Vehicle_Distance"&amp;"_"&amp;$C47),4,0),
$G47="Vehicle Distance (e.g. Public or Freight Transport)",VLOOKUP($H47,INDIRECT("Ref_EF_Vehicle_Distance_S3"&amp;"_"&amp;$C47),4,0),
$G47="Custom Vehicle",VLOOKUP($H47,Tbl_vehical_Settings,5,0),
$G47="Custom Fuel",VLOOKUP($M47,Tbl_Fuel_Settings,5,0),
$G47="Weight Distance (e.g. Freight Transport)",VLOOKUP($H47,INDIRECT("Ref_EF_Weight_Distance"&amp;"_"&amp;$C47),4,0),
$G47="Passenger Distance (e.g. Public Transport)",VLOOKUP($H47,INDIRECT("Ref_EF_Public_Transport"&amp;"_"&amp;$C47),4,0)),"")</f>
        <v/>
      </c>
      <c r="AE47" s="31" t="str" cm="1">
        <f t="array" aca="1" ref="AE47" ca="1">IFERROR(_xlfn.IFS(
OR($G47="Fuel Use",$G47="Fuel Use and Vehicle Distance"),VLOOKUP($M47,INDIRECT("Ref_EF_ByFuel"&amp;"_"&amp;$C47),5,0),
$G47="Vehicle Distance (e.g. Road Transport)",VLOOKUP($H47,INDIRECT("Ref_EF_Vehicle_Distance"&amp;"_"&amp;$C47),5,0),
$G47="Vehicle Distance (e.g. Public or Freight Transport)",VLOOKUP($H47,INDIRECT("Ref_EF_Vehicle_Distance_S3"&amp;"_"&amp;$C47),5,0),
$G47="Custom Vehicle",VLOOKUP($H47,Tbl_vehical_Settings,6,0),
$G47="Custom Fuel",VLOOKUP($M47,Tbl_Fuel_Settings,6,0),
$G47="Weight Distance (e.g. Freight Transport)",VLOOKUP($H47,INDIRECT("Ref_EF_Weight_Distance"&amp;"_"&amp;$C47),5,0),
$G47="Passenger Distance (e.g. Public Transport)",VLOOKUP($H47,INDIRECT("Ref_EF_Public_Transport"&amp;"_"&amp;$C47),5,0)),"")</f>
        <v/>
      </c>
      <c r="AF47" s="31" t="str" cm="1">
        <f t="array" aca="1" ref="AF47" ca="1">IFERROR(_xlfn.IFS(
OR($G47="Fuel Use",$G47="Fuel Use and Vehicle Distance"),VLOOKUP($M47,INDIRECT("Ref_EF_ByFuel"&amp;"_"&amp;$C47),6,0),
$G47="Vehicle Distance (e.g. Road Transport)",VLOOKUP($H47,INDIRECT("Ref_EF_Vehicle_Distance"&amp;"_"&amp;$C47),6,0),
$G47="Vehicle Distance (e.g. Public or Freight Transport)",VLOOKUP($H47,INDIRECT("Ref_EF_Vehicle_Distance_S3"&amp;"_"&amp;$C47),6,0),
$G47="Custom Vehicle",VLOOKUP($H47,Tbl_vehical_Settings,7,0),
$G47="Custom Fuel",VLOOKUP($M47,Tbl_Fuel_Settings,7,0),
$G47="Weight Distance (e.g. Freight Transport)",VLOOKUP($H47,INDIRECT("Ref_EF_Weight_Distance"&amp;"_"&amp;$C47),6,0),
$G47="Passenger Distance (e.g. Public Transport)",VLOOKUP($H47,INDIRECT("Ref_EF_Public_Transport"&amp;"_"&amp;$C47),6,0)),"")</f>
        <v/>
      </c>
      <c r="AG47" s="31" t="str" cm="1">
        <f t="array" aca="1" ref="AG47" ca="1">IFERROR(_xlfn.IFS(
AND($G47="Fuel Use",$E47&lt;&gt;"Road"),VLOOKUP($H47,INDIRECT("Ref_EF_ByFuel_CH4"&amp;"_"&amp;$C47),3,0),
$G47="Vehicle Distance (e.g. Road Transport)",VLOOKUP($H47,INDIRECT("Ref_EF_Vehicle_Distance"&amp;"_"&amp;$C47),7,0),
$G47="Vehicle Distance (e.g. Public or Freight Transport)",VLOOKUP($H47,INDIRECT("Ref_EF_Vehicle_Distance_S3"&amp;"_"&amp;$C47),7,0),
$G47="Fuel Use and Vehicle Distance",VLOOKUP($H47,INDIRECT("Ref_EF_Fuel_Vehicle_Distance"&amp;"_"&amp;$C47),3,0),
$G47="Custom Vehicle",VLOOKUP($H47,Tbl_vehical_Settings,3,0),
$G47="Custom Fuel",VLOOKUP($M47,Tbl_Fuel_Settings,3,0),
$G47="Weight Distance (e.g. Freight Transport)",VLOOKUP($H47,INDIRECT("Ref_EF_Weight_Distance_CH4"&amp;"_"&amp;$C47),3,0),
$G47="Passenger Distance (e.g. Public Transport)",VLOOKUP($H47,INDIRECT("Ref_EF_Public_Transport_CH4"&amp;"_"&amp;$C47),7,0)),"")</f>
        <v/>
      </c>
      <c r="AH47" s="31" t="str" cm="1">
        <f t="array" aca="1" ref="AH47" ca="1">IFERROR(_xlfn.IFS(
AND($G47="Fuel Use",$E47&lt;&gt;"Road"),VLOOKUP($H47,INDIRECT("Ref_EF_ByFuel_CH4"&amp;"_"&amp;$C47),4,0),
$G47="Vehicle Distance (e.g. Road Transport)",VLOOKUP($H47,INDIRECT("Ref_EF_Vehicle_Distance"&amp;"_"&amp;$C47),8,0),
$G47="Vehicle Distance (e.g. Public or Freight Transport)",VLOOKUP($H47,INDIRECT("Ref_EF_Vehicle_Distance_S3"&amp;"_"&amp;$C47),8,0),
$G47="Fuel Use and Vehicle Distance",VLOOKUP($H47,INDIRECT("Ref_EF_Fuel_Vehicle_Distance"&amp;"_"&amp;$C47),4,0),
$G47="Custom Vehicle",VLOOKUP($H47,Tbl_vehical_Settings,6,0),
$G47="Custom Fuel",VLOOKUP($M47,Tbl_Fuel_Settings,6,0),
$G47="Weight Distance (e.g. Freight Transport)",VLOOKUP($H47,INDIRECT("Ref_EF_Weight_Distance_CH4"&amp;"_"&amp;$C47),4,0),
$G47="Passenger Distance (e.g. Public Transport)",VLOOKUP($H47,INDIRECT("Ref_EF_Public_Transport_CH4"&amp;"_"&amp;$C47),8,0)),"")</f>
        <v/>
      </c>
      <c r="AI47" s="31" t="str" cm="1">
        <f t="array" aca="1" ref="AI47" ca="1">IFERROR(_xlfn.IFS(
AND($G47="Fuel Use",$E47&lt;&gt;"Road"),VLOOKUP($H47,INDIRECT("Ref_EF_ByFuel_CH4"&amp;"_"&amp;$C47),5,0),
$G47="Vehicle Distance (e.g. Road Transport)",VLOOKUP($H47,INDIRECT("Ref_EF_Vehicle_Distance"&amp;"_"&amp;$C47),9,0),
$G47="Vehicle Distance (e.g. Public or Freight Transport)",VLOOKUP($H47,INDIRECT("Ref_EF_Vehicle_Distance_S3"&amp;"_"&amp;$C47),9,0),
$G47="Fuel Use and Vehicle Distance",VLOOKUP($H47,INDIRECT("Ref_EF_Fuel_Vehicle_Distance"&amp;"_"&amp;$C47),5,0),
$G47="Custom Vehicle",VLOOKUP($H47,Tbl_vehical_Settings,7,0),
$G47="Custom Fuel",VLOOKUP($M47,Tbl_Fuel_Settings,7,0),
$G47="Weight Distance (e.g. Freight Transport)",VLOOKUP($H47,INDIRECT("Ref_EF_Weight_Distance_CH4"&amp;"_"&amp;$C47),5,0),
$G47="Passenger Distance (e.g. Public Transport)",VLOOKUP($H47,INDIRECT("Ref_EF_Public_Transport_CH4"&amp;"_"&amp;$C47),9,0)),"")</f>
        <v/>
      </c>
      <c r="AJ47" s="31" t="str" cm="1">
        <f t="array" aca="1" ref="AJ47" ca="1">IFERROR(_xlfn.IFS(
AND($G47="Fuel Use",$E47&lt;&gt;"Road"),VLOOKUP($H47,INDIRECT("Ref_EF_ByFuel_CH4"&amp;"_"&amp;$C47),6,0),
$G47="Vehicle Distance (e.g. Road Transport)",VLOOKUP($H47,INDIRECT("Ref_EF_Vehicle_Distance"&amp;"_"&amp;$C47),10,0),
$G47="Vehicle Distance (e.g. Public or Freight Transport)",VLOOKUP($H47,INDIRECT("Ref_EF_Vehicle_Distance_S3"&amp;"_"&amp;$C47),10,0),
$G47="Fuel Use and Vehicle Distance",VLOOKUP($H47,INDIRECT("Ref_EF_Fuel_Vehicle_Distance"&amp;"_"&amp;$C47),6,0),
$G47="Custom Vehicle",VLOOKUP($H47,Tbl_vehical_Settings,4,0),
$G47="Custom Fuel",VLOOKUP($M47,Tbl_Fuel_Settings,4,0),
$G47="Weight Distance (e.g. Freight Transport)",VLOOKUP($H47,INDIRECT("Ref_EF_Weight_Distance_CH4"&amp;"_"&amp;$C47),6,0),
$G47="Passenger Distance (e.g. Public Transport)",VLOOKUP($H47,INDIRECT("Ref_EF_Public_Transport_CH4"&amp;"_"&amp;$C47),10,0)),"")</f>
        <v/>
      </c>
      <c r="AK47" s="31" t="str" cm="1">
        <f t="array" aca="1" ref="AK47" ca="1">IFERROR(_xlfn.IFS(
AND($G47="Fuel Use",$E47&lt;&gt;"Road"),VLOOKUP($H47,INDIRECT("Ref_EF_ByFuel_CH4"&amp;"_"&amp;$C47),7,0),
$G47="Vehicle Distance (e.g. Road Transport)",VLOOKUP($H47,INDIRECT("Ref_EF_Vehicle_Distance"&amp;"_"&amp;$C47),11,0),
$G47="Vehicle Distance (e.g. Public or Freight Transport)",VLOOKUP($H47,INDIRECT("Ref_EF_Vehicle_Distance_S3"&amp;"_"&amp;$C47),11,0),
$G47="Fuel Use and Vehicle Distance",VLOOKUP($H47,INDIRECT("Ref_EF_Fuel_Vehicle_Distance"&amp;"_"&amp;$C47),7,0),
$G47="Custom Vehicle",VLOOKUP($H47,Tbl_vehical_Settings,6,0),
$G47="Custom Fuel",VLOOKUP($M47,Tbl_Fuel_Settings,6,0),
$G47="Weight Distance (e.g. Freight Transport)",VLOOKUP($H47,INDIRECT("Ref_EF_Weight_Distance_CH4"&amp;"_"&amp;$C47),7,0),
$G47="Passenger Distance (e.g. Public Transport)",VLOOKUP($H47,INDIRECT("Ref_EF_Public_Transport_CH4"&amp;"_"&amp;$C47),11,0)),"")</f>
        <v/>
      </c>
      <c r="AL47" s="31" t="str" cm="1">
        <f t="array" aca="1" ref="AL47" ca="1">IFERROR(_xlfn.IFS(
AND($G47="Fuel Use",$E47&lt;&gt;"Road"),VLOOKUP($H47,INDIRECT("Ref_EF_ByFuel_CH4"&amp;"_"&amp;$C47),8,0),
$G47="Vehicle Distance (e.g. Road Transport)",VLOOKUP($H47,INDIRECT("Ref_EF_Vehicle_Distance"&amp;"_"&amp;$C47),12,0),
$G47="Vehicle Distance (e.g. Public or Freight Transport)",VLOOKUP($H47,INDIRECT("Ref_EF_Vehicle_Distance_S3"&amp;"_"&amp;$C47),12,0),
$G47="Fuel Use and Vehicle Distance",VLOOKUP($H47,INDIRECT("Ref_EF_Fuel_Vehicle_Distance"&amp;"_"&amp;$C47),8,0),
$G47="Custom Vehicle",VLOOKUP($H47,Tbl_vehical_Settings,7,0),
$G47="Custom Fuel",VLOOKUP($M47,Tbl_Fuel_Settings,7,0),
$G47="Weight Distance (e.g. Freight Transport)",VLOOKUP($H47,INDIRECT("Ref_EF_Weight_Distance_CH4"&amp;"_"&amp;$C47),8,0),
$G47="Passenger Distance (e.g. Public Transport)",VLOOKUP($H47,INDIRECT("Ref_EF_Public_Transport_CH4"&amp;"_"&amp;$C47),12,0)),"")</f>
        <v/>
      </c>
      <c r="AM47" s="31" t="e">
        <f ca="1">INDEX(Ref_Master_Unit_Table,MATCH($AB47,REF_To_Unit,0),MATCH('Reference - Lookup and Unit'!$A$11,Ref_From_Units,0))</f>
        <v>#N/A</v>
      </c>
      <c r="AN47" s="31" t="e">
        <f t="shared" ca="1" si="0"/>
        <v>#N/A</v>
      </c>
      <c r="AO47" s="31" t="e">
        <f ca="1">INDEX(Ref_Master_Unit_Table,MATCH($AE47,REF_To_Unit,0),MATCH('Reference - Lookup and Unit'!$A$11,Ref_From_Units,0))</f>
        <v>#N/A</v>
      </c>
      <c r="AP47" s="31" t="e">
        <f t="shared" ca="1" si="59"/>
        <v>#N/A</v>
      </c>
      <c r="AQ47" s="31" t="e">
        <f ca="1">INDEX(Ref_Master_Unit_Table,MATCH($AH47,REF_To_Unit,0),MATCH('Reference - Lookup and Unit'!$A$11,Ref_From_Units,0))</f>
        <v>#N/A</v>
      </c>
      <c r="AR47" s="31" t="e">
        <f t="shared" ca="1" si="60"/>
        <v>#N/A</v>
      </c>
      <c r="AS47" s="31" t="e">
        <f ca="1">INDEX(Ref_Master_Unit_Table,MATCH($AK47,REF_To_Unit,0),MATCH('Reference - Lookup and Unit'!$A$11,Ref_From_Units,0))</f>
        <v>#N/A</v>
      </c>
      <c r="AT47" s="31" t="e">
        <f t="shared" ca="1" si="61"/>
        <v>#N/A</v>
      </c>
      <c r="AU47" s="31" t="e" cm="1">
        <f t="array" aca="1" ref="AU47"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47" s="31">
        <f t="shared" ca="1" si="48"/>
        <v>27.9</v>
      </c>
      <c r="AW47" s="31">
        <f t="shared" ca="1" si="49"/>
        <v>273</v>
      </c>
      <c r="AX47" s="31" t="e" cm="1">
        <f t="array" aca="1" ref="AX47"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47" s="25" t="e" cm="1">
        <f t="array" ref="AY47">_xlfn.IFS(
AND($E47&lt;&gt;"",$G47="Custom Fuel"),("Settings_Custom_Fuels"),
AND($E47&lt;&gt;"",$G47="Custom vehicle"),("Settings_Custom_Vehicle"),
AND($E47&lt;&gt;"",$G47="Fuel Use"),("Ref_DD_vehicle_FuelUse"&amp;"_"&amp;C47&amp;"_"&amp;E47),
AND($E47&lt;&gt;"",$G47="Fuel Use and Vehicle Distance"),("Ref_DD_Fuel_VehicleDistance"&amp;"_"&amp;C47&amp;"_"&amp;E47),
AND($E47&lt;&gt;"",$G47="Vehicle Distance (e.g. Road Transport)"),("Ref_DD_vehicle_VehicleDistance"&amp;"_"&amp;C47&amp;"_"&amp;E47),
AND($E47&lt;&gt;"",$G47="Weight Distance (e.g. Freight Transport)"),("Ref_DD_vehicle_WeightDistance"&amp;"_"&amp;C47&amp;"_"&amp;E47),
AND($E47&lt;&gt;"",$G47="Vehicle Distance (e.g. Public or Freight Transport)"),("Ref_DD_vehicle_DistanceS3"&amp;"_"&amp;C47),
AND($E47&lt;&gt;"",$G47="Passenger Distance (e.g. Public Transport)"),("Ref_DD_vehicle_Passenger"&amp;"_"&amp;C47&amp;"_"&amp;E47),
AND($E47="",$G47="Fuel Use"),("Ref_DD_vehicle_FuelUse"&amp;"_"&amp;C47),
AND($E47="",OR($G47="Vehicle Distance (e.g. Road Transport)",$G47="Fuel Use and Vehicle Distance")),("Ref_DD_vehicle_VehicleDistance"&amp;"_"&amp;C47),
AND($E47="",$G47="Weight Distance (e.g. Freight Transport)"),("Ref_DD_vehicle_WeightDistance"&amp;"_"&amp;C47),
AND($E47="",$G47="Vehicle Distance (e.g. Public or Freight Transport)"),("Ref_DD_vehicle_DistanceS3"&amp;"_"&amp;C47),
AND($E47="",$G47="Passenger Distance (e.g. Public Transport)"),("Ref_DD_vehicle_Passenger"&amp;"_"&amp;C47))</f>
        <v>#N/A</v>
      </c>
      <c r="AZ47" s="25" t="b">
        <f t="shared" ca="1" si="4"/>
        <v>0</v>
      </c>
      <c r="BA47" s="25" t="str">
        <f t="shared" si="5"/>
        <v/>
      </c>
      <c r="BB47" s="25" t="str">
        <f t="shared" si="6"/>
        <v/>
      </c>
      <c r="BC47" s="25" t="str">
        <f t="shared" si="50"/>
        <v/>
      </c>
      <c r="BD47" s="25" t="str">
        <f t="shared" si="51"/>
        <v/>
      </c>
      <c r="BE47" s="25" t="str">
        <f t="shared" si="52"/>
        <v/>
      </c>
      <c r="BF47" s="25" t="str">
        <f t="shared" si="53"/>
        <v/>
      </c>
      <c r="BG47" s="25" t="str">
        <f t="shared" si="7"/>
        <v/>
      </c>
      <c r="BH47" s="25" t="str">
        <f t="shared" si="8"/>
        <v/>
      </c>
      <c r="BI47" s="25" t="str">
        <f t="shared" si="54"/>
        <v/>
      </c>
      <c r="BJ47" s="25" t="str">
        <f t="shared" si="55"/>
        <v/>
      </c>
      <c r="BK47" s="25" t="str">
        <f t="shared" si="56"/>
        <v/>
      </c>
      <c r="BL47" s="25" t="str">
        <f t="shared" si="57"/>
        <v/>
      </c>
      <c r="BM47" s="25" t="str">
        <f t="shared" si="9"/>
        <v/>
      </c>
      <c r="BN47" s="25" t="str">
        <f t="shared" ca="1" si="10"/>
        <v/>
      </c>
      <c r="BO47" s="25" t="str">
        <f t="shared" si="11"/>
        <v/>
      </c>
      <c r="BP47" s="25" t="str">
        <f t="shared" si="12"/>
        <v/>
      </c>
      <c r="BQ47" s="25" t="str">
        <f t="shared" si="13"/>
        <v/>
      </c>
      <c r="BR47" s="25" t="str">
        <f t="shared" si="14"/>
        <v/>
      </c>
      <c r="BS47" s="25" t="str">
        <f t="shared" si="15"/>
        <v/>
      </c>
      <c r="BT47" s="25" t="str">
        <f t="shared" si="16"/>
        <v/>
      </c>
      <c r="BU47" s="25" t="str">
        <f t="shared" si="17"/>
        <v/>
      </c>
      <c r="BV47" s="25" t="str">
        <f t="shared" si="18"/>
        <v/>
      </c>
      <c r="BW47" s="25" t="str">
        <f t="shared" si="19"/>
        <v/>
      </c>
      <c r="BX47" s="25" t="str">
        <f t="shared" si="20"/>
        <v/>
      </c>
      <c r="BY47" s="25" t="str">
        <f t="shared" si="21"/>
        <v/>
      </c>
      <c r="BZ47" s="25" t="str">
        <f t="shared" si="22"/>
        <v/>
      </c>
      <c r="CA47" s="25" t="str">
        <f t="shared" si="23"/>
        <v/>
      </c>
      <c r="CB47" s="25" t="str">
        <f t="shared" si="24"/>
        <v/>
      </c>
      <c r="CC47" s="25" t="str">
        <f t="shared" si="25"/>
        <v/>
      </c>
      <c r="CD47" s="25" t="str">
        <f t="shared" si="26"/>
        <v/>
      </c>
      <c r="CE47" s="25" t="str">
        <f t="shared" si="27"/>
        <v/>
      </c>
      <c r="CF47" s="25" t="str">
        <f t="shared" si="28"/>
        <v/>
      </c>
      <c r="CG47" s="25" t="str">
        <f t="shared" si="29"/>
        <v/>
      </c>
      <c r="CH47" s="25" t="str">
        <f t="shared" si="30"/>
        <v/>
      </c>
      <c r="CI47" s="25" t="str">
        <f t="shared" si="31"/>
        <v/>
      </c>
      <c r="CJ47" s="25" t="str">
        <f t="shared" si="32"/>
        <v/>
      </c>
      <c r="CK47" s="25" t="str">
        <f t="shared" si="33"/>
        <v/>
      </c>
      <c r="CL47" s="25" t="str">
        <f t="shared" si="34"/>
        <v/>
      </c>
      <c r="CM47" s="25" t="str">
        <f t="shared" si="35"/>
        <v/>
      </c>
      <c r="CN47" s="25" t="str">
        <f t="shared" si="36"/>
        <v/>
      </c>
      <c r="CO47" s="25" t="str">
        <f t="shared" si="37"/>
        <v/>
      </c>
      <c r="CP47" s="25" t="str">
        <f t="shared" si="38"/>
        <v/>
      </c>
      <c r="CQ47" s="25" t="str">
        <f t="shared" si="39"/>
        <v/>
      </c>
      <c r="CR47" s="25" t="str">
        <f t="shared" si="40"/>
        <v/>
      </c>
      <c r="CS47" s="25" t="str">
        <f t="shared" si="41"/>
        <v/>
      </c>
      <c r="CT47" s="25" t="str">
        <f t="shared" si="42"/>
        <v/>
      </c>
      <c r="CU47" s="25" t="str">
        <f t="shared" si="43"/>
        <v/>
      </c>
      <c r="CV47" s="25" t="str">
        <f t="shared" si="44"/>
        <v/>
      </c>
      <c r="CW47" s="25" t="str">
        <f t="shared" si="45"/>
        <v/>
      </c>
      <c r="CX47" s="25" t="str" cm="1">
        <f t="array" ref="CX47">_xlfn.IFNA(_xlfn.IFS(
$G47="Weight Distance (e.g. Freight Transport)","Ref_DD_WeightDistanceUnits",
$G47="Passenger Distance (e.g. Public Transport)","Ref_DD_PasengerDistanceUnits",
$G47="Vehicle Distance (e.g. Road Transport)", "Ref_DD_DistanceUnit",
$G47="Vehicle Distance (e.g. Public or Freight Transport)","Ref_DD_DistanceUnit",
$G47="Fuel Use and Vehicle Distance", "Ref_DD_DistanceUnit",
$G47="Custom Vehicle",VLOOKUP($H47,'2. Settings'!$B$39:$I$54,8,FALSE)),"")</f>
        <v/>
      </c>
      <c r="CY47" s="27" t="str">
        <f ca="1">IF(AND(ISERROR(#REF!*$AU47)=TRUE,ISERROR((S47/1000)*$AV47)=TRUE,ISERROR((T47/1000)*$AW47)=FALSE),((T47/1000)*$AW47),"")</f>
        <v/>
      </c>
      <c r="CZ47" s="27" cm="1">
        <f t="array" ref="CZ47">IFERROR(_xlfn.IFS(
AND($G47="Custom vehicle",OR($J47="Passenger Mile",$J47="Passenger Kilometer")),"Passenger Distance (e.g. Public Transport)",
AND($G47="Custom vehicle",OR($J47="Tonne Mile",$J47="Tonne Kilometer",$J47="Short Ton Kilometer",$J47="Short Ton Mile")),"Weight Distance (e.g. Freight Transport)",
AND($G47="Custom vehicle",OR($J47="Mile",$J47="Kilometer")),"Vehicle Distance (e.g. Road Transport)",
$G47&lt;&gt;"Custom vehicle",$G47),"")</f>
        <v>0</v>
      </c>
      <c r="DA47" s="27" t="str" cm="1">
        <f t="array" ref="DA47">IFERROR(_xlfn.IFS(OR(J47="Tonne Kilometer",J47="Tonne Mile",J47="Short Ton Mile",J47="Short Ton Kilometer"),I47*K47,OR(J47="Passenger Kilometer",J47="Passenger Mile"),I47*L47,OR(J47="Kilometer",J47="Mile"),$I47),"")</f>
        <v/>
      </c>
    </row>
    <row r="48" spans="2:105" x14ac:dyDescent="0.25">
      <c r="B48" s="244"/>
      <c r="C48" s="71" t="str" cm="1">
        <f t="array" ref="C48">IFERROR(_xlfn.IFS($D48="Other", D48&amp;"_" &amp;Ref_Other_to,OR($D48="UK", $D48="US"),$D48),"")</f>
        <v/>
      </c>
      <c r="D48" s="71"/>
      <c r="E48" s="71"/>
      <c r="F48" s="71"/>
      <c r="G48" s="72"/>
      <c r="H48" s="72"/>
      <c r="I48" s="73"/>
      <c r="J48" s="73"/>
      <c r="K48" s="73"/>
      <c r="L48" s="73"/>
      <c r="M48" s="74"/>
      <c r="N48" s="75"/>
      <c r="O48" s="71"/>
      <c r="P48" s="165" t="str">
        <f t="shared" si="58"/>
        <v/>
      </c>
      <c r="Q48" s="166" t="str">
        <f t="shared" si="46"/>
        <v/>
      </c>
      <c r="R48" s="76" t="str" cm="1">
        <f t="array" aca="1" ref="R48" ca="1">IFERROR(_xlfn.IFS(
AND(AA48&gt;0, OR($G48="Fuel Use",$G48="Custom Fuel")),$N48*$AA48*$AM48*$AN48,
AND(AA48&gt;0,$CZ48="Vehicle Distance (e.g. Road Transport)"),$I48*$AA48*$AM48*$AN48,
AND(AA48&gt;0,$CZ48="Vehicle Distance (e.g. Public or Freight Transport)"),$I48*$AA48*$AM48*$AN48,
AND(AA48&gt;0,$CZ48="Fuel Use and Vehicle Distance"),$N48*$AA48*$AM48*$AN48,
AND(AA48&gt;0,$CZ48="Passenger Distance (e.g. Public Transport)"),$DA48*$AA48*$AM48*$AN48,
AND(AA48&gt;0,$CZ48="Weight Distance (e.g. Freight Transport)"),$DA48*$AA48*$AM48*$AN48),"")</f>
        <v/>
      </c>
      <c r="S48" s="77" t="str" cm="1">
        <f t="array" aca="1" ref="S48" ca="1">IFERROR(_xlfn.IFS(
AND(AG48&gt;-1, $G48="Fuel Use and Vehicle Distance"),$I48*$AG48*$AQ48*$AR48,
AND(AG48&gt;-1, $G48="Vehicle Distance (e.g. Road Transport)"),$I48*$AG48*$AQ48*$AR48,
AND(AG48&gt;-1, $CZ48="Vehicle Distance (e.g. Public or Freight Transport)"),$I48*$AG48*$AQ48*$AR48,
AND(AG48&gt;-1, OR($G48="Fuel Use",$G48="Custom Fuel")), $N48*$AG48*$AQ48*$AR48*1000,
AND(AG48&gt;-1, $G48="Custom Vehicle"),$DA48*$AG48*$AQ48*$AR48*1000,
AND(AG48&gt;-1, AND($G48&lt;&gt;"Custom Vehicle",$CZ48="Weight Distance (e.g. Freight Transport)")),$DA48*$AG48*$AQ48*$AR48*1000,
AND(AG48&gt;-1, AND($G48&lt;&gt;"Custom Vehicle",$CZ48="Passenger Distance (e.g. Public Transport)")), $DA48*$AG48*$AQ48*$AR48*1000),"")</f>
        <v/>
      </c>
      <c r="T48" s="77" t="str" cm="1">
        <f t="array" aca="1" ref="T48" ca="1">IFERROR(_xlfn.IFS(
AND(AJ48&gt;0,$G48="Fuel Use and Vehicle Distance"),$I48*$AJ48*$AS48*$AT48,
AND(AJ48&gt;0,$G48="Vehicle Distance (e.g. Road Transport)"),$I48*$AJ48*$AS48*$AT48,
AND(AJ48&gt;0,$G48="Vehicle Distance (e.g. Public or Freight Transport)"),$I48*$AJ48*$AS48*$AT48,
AND(AJ48&gt;0,OR($G48="Fuel Use",$G48="Custom Fuel")), $N48*$AJ48*$AS48*$AT48*1000,
AND(AJ48&gt;0,$G48="Custom Vehicle"),$DA48*$AJ48*$AS48*$AT48*1000,
AND(AJ48&gt;0,AND($G48&lt;&gt;"Custom Vehicle",$CZ48="Weight Distance (e.g. Freight Transport)")),$DA48*$AJ48*$AS48*$AT48*1000,
AND(AJ48&gt;0,AND($G48&lt;&gt;"Custom Vehicle",$CZ48="Passenger Distance (e.g. Public Transport)")), $DA48*$AJ48*$AS48*$AT48*1000),"")</f>
        <v/>
      </c>
      <c r="U48" s="78" t="str">
        <f t="shared" ca="1" si="47"/>
        <v/>
      </c>
      <c r="V48" s="161" t="str" cm="1">
        <f t="array" aca="1" ref="V48" ca="1">IFERROR(_xlfn.IFS(
AND(AD48&gt;0,OR($CZ48="Fuel Use",$CZ48="Custom Fuel",$CZ48="Fuel Use and Vehicle Distance")),($N48*$AD48*$AO48*$AP48),
AND(AD48&gt;0,$G48="Custom Vehicle"),$DA48*$AD48*$AO48*$AP48,
AND(AD48&gt;0,$CZ48="Vehicle Distance (e.g. Public or Freight Transport)"),$I48*$AD48*$AM48*$AN48,
AND(AD48&gt;0,$CZ48="Weight Distance (e.g. Freight Transport)"),($I48*$K48*$AD48*$AO48*$AP48),
AND(AD48&gt;0,$CZ48="Passenger Distance (e.g. Public Transport)"),$I48*$L48*$AD48*$AO48*$AP48,
AND(AD48&gt;0,$CZ48="Vehicle Distance (e.g. Road Transport)"),($I48*$AD48*$AO48*$AP48)),"")</f>
        <v/>
      </c>
      <c r="W48" s="164" t="str" cm="1">
        <f t="array" aca="1" ref="W48" ca="1">IFERROR(_xlfn.IFS(AND(ISNUMBER(R48),AA48=0),AA48&amp;" "&amp;"("&amp;AB48&amp;" CO2/"&amp;AC48&amp;")",AND(ISNUMBER(R48),AA48&gt;0),ROUND(AA48,INT(3-LOG(AA48)))&amp;" "&amp;"("&amp;AB48&amp;" CO2/"&amp;AC48&amp;")"),"")</f>
        <v/>
      </c>
      <c r="X48" s="164" t="str" cm="1">
        <f t="array" aca="1" ref="X48" ca="1">IFERROR(_xlfn.IFS(AND(ISNUMBER(S48), AG48=0),AG48&amp;" "&amp;"("&amp;AH48&amp;" CH4/"&amp;AI48&amp;")",AND(ISNUMBER(S48), AG48&gt;0),ROUND(AG48,INT(3-LOG(AG48)))&amp;" "&amp;"("&amp;AH48&amp;" CH4/"&amp;AI48&amp;")"),"")</f>
        <v/>
      </c>
      <c r="Y48" s="164" t="str" cm="1">
        <f t="array" aca="1" ref="Y48" ca="1">IFERROR(_xlfn.IFS(AND(ISNUMBER(T48), AJ48=0),AJ48&amp;" "&amp;"("&amp;AK48&amp;" CH4/"&amp;AL48&amp;")",AND(ISNUMBER(T48), AJ48&gt;0),ROUND(AJ48,INT(3-LOG(AJ48)))&amp;" "&amp;"("&amp;AK48&amp;" N2O/"&amp;AL48&amp;")"),"")</f>
        <v/>
      </c>
      <c r="Z48" s="245" t="str" cm="1">
        <f t="array" aca="1" ref="Z48" ca="1">IFERROR(_xlfn.IFS(AND(ISNUMBER(V48),AD48=0),AD48&amp;" "&amp;"("&amp;AE48&amp;" CO2/"&amp;AF48&amp;")",AND(ISNUMBER(V48),AD48&gt;0),ROUND(AD48,INT(3-LOG(AD48)))&amp;" "&amp;"("&amp;AE48&amp;" CO2/"&amp;AF48&amp;")"),"")</f>
        <v/>
      </c>
      <c r="AA48" s="240" t="str" cm="1">
        <f t="array" aca="1" ref="AA48" ca="1">IFERROR(_xlfn.IFS(
OR($G48="Fuel Use",$G48="Fuel Use and Vehicle Distance"),VLOOKUP($M48,INDIRECT("Ref_EF_ByFuel"&amp;"_"&amp;$C48),3,0),
$G48="Vehicle Distance (e.g. Road Transport)",VLOOKUP($H48,INDIRECT("Ref_EF_Vehicle_Distance"&amp;"_"&amp;$C48),3,0),
$G48="Vehicle Distance (e.g. Public or Freight Transport)",VLOOKUP($H48,INDIRECT("Ref_EF_Vehicle_Distance_S3"&amp;"_"&amp;$C48),3,0),
$G48="Custom Vehicle",VLOOKUP($H48,Tbl_vehical_Settings,2,0),
$G48="Custom Fuel",VLOOKUP($M48,Tbl_Fuel_Settings,2,0),
$G48="Weight Distance (e.g. Freight Transport)",VLOOKUP($H48,INDIRECT("Ref_EF_Weight_Distance"&amp;"_"&amp;$C48),3,0),
$G48="Passenger Distance (e.g. Public Transport)",VLOOKUP($H48,INDIRECT("Ref_EF_Public_Transport"&amp;"_"&amp;$C48),3,0)),"")</f>
        <v/>
      </c>
      <c r="AB48" s="31" t="str" cm="1">
        <f t="array" aca="1" ref="AB48" ca="1">IFERROR(_xlfn.IFS(
OR($G48="Fuel Use",$G48="Fuel Use and Vehicle Distance"),VLOOKUP($M48,INDIRECT("Ref_EF_ByFuel"&amp;"_"&amp;$C48),5,0),
$G48="Vehicle Distance (e.g. Road Transport)",VLOOKUP($H48,INDIRECT("Ref_EF_Vehicle_Distance"&amp;"_"&amp;$C48),5,0),
$G48="Vehicle Distance (e.g. Public or Freight Transport)",VLOOKUP($H48,INDIRECT("Ref_EF_Vehicle_Distance_S3"&amp;"_"&amp;$C48),5,0),
$G48="Custom Vehicle",VLOOKUP($H48,Tbl_vehical_Settings,6,0),
$G48="Custom Fuel",VLOOKUP($M48,Tbl_Fuel_Settings,6,0),
$G48="Weight Distance (e.g. Freight Transport)",VLOOKUP($H48,INDIRECT("Ref_EF_Weight_Distance"&amp;"_"&amp;$C48),5,0),
$G48="Passenger Distance (e.g. Public Transport)",VLOOKUP($H48,INDIRECT("Ref_EF_Public_Transport"&amp;"_"&amp;$C48),5,0)),"")</f>
        <v/>
      </c>
      <c r="AC48" s="31" t="str" cm="1">
        <f t="array" aca="1" ref="AC48" ca="1">IFERROR(_xlfn.IFS(
OR($G48="Fuel Use",$G48="Fuel Use and Vehicle Distance"),VLOOKUP($M48,INDIRECT("Ref_EF_ByFuel"&amp;"_"&amp;$C48),6,0),
$G48="Vehicle Distance (e.g. Road Transport)",VLOOKUP($H48,INDIRECT("Ref_EF_Vehicle_Distance"&amp;"_"&amp;$C48),6,0),
$G48="Vehicle Distance (e.g. Public or Freight Transport)",VLOOKUP($H48,INDIRECT("Ref_EF_Vehicle_Distance_S3"&amp;"_"&amp;$C48),6,0),
$G48="Custom Vehicle",VLOOKUP($H48,Tbl_vehical_Settings,7,0),
$G48="Custom Fuel",VLOOKUP($M48,Tbl_Fuel_Settings,7,0),
$G48="Weight Distance (e.g. Freight Transport)",VLOOKUP($H48,INDIRECT("Ref_EF_Weight_Distance"&amp;"_"&amp;$C48),6,0),
$G48="Passenger Distance (e.g. Public Transport)",VLOOKUP($H48,INDIRECT("Ref_EF_Public_Transport"&amp;"_"&amp;$C48),6,0)),"")</f>
        <v/>
      </c>
      <c r="AD48" s="31" t="str" cm="1">
        <f t="array" aca="1" ref="AD48" ca="1">IFERROR(_xlfn.IFS(
OR($G48="Fuel Use",$G48="Fuel Use and Vehicle Distance"),VLOOKUP($M48,INDIRECT("Ref_EF_ByFuel"&amp;"_"&amp;$C48),4,0),
$G48="Vehicle Distance (e.g. Road Transport)",VLOOKUP($H48,INDIRECT("Ref_EF_Vehicle_Distance"&amp;"_"&amp;$C48),4,0),
$G48="Vehicle Distance (e.g. Public or Freight Transport)",VLOOKUP($H48,INDIRECT("Ref_EF_Vehicle_Distance_S3"&amp;"_"&amp;$C48),4,0),
$G48="Custom Vehicle",VLOOKUP($H48,Tbl_vehical_Settings,5,0),
$G48="Custom Fuel",VLOOKUP($M48,Tbl_Fuel_Settings,5,0),
$G48="Weight Distance (e.g. Freight Transport)",VLOOKUP($H48,INDIRECT("Ref_EF_Weight_Distance"&amp;"_"&amp;$C48),4,0),
$G48="Passenger Distance (e.g. Public Transport)",VLOOKUP($H48,INDIRECT("Ref_EF_Public_Transport"&amp;"_"&amp;$C48),4,0)),"")</f>
        <v/>
      </c>
      <c r="AE48" s="31" t="str" cm="1">
        <f t="array" aca="1" ref="AE48" ca="1">IFERROR(_xlfn.IFS(
OR($G48="Fuel Use",$G48="Fuel Use and Vehicle Distance"),VLOOKUP($M48,INDIRECT("Ref_EF_ByFuel"&amp;"_"&amp;$C48),5,0),
$G48="Vehicle Distance (e.g. Road Transport)",VLOOKUP($H48,INDIRECT("Ref_EF_Vehicle_Distance"&amp;"_"&amp;$C48),5,0),
$G48="Vehicle Distance (e.g. Public or Freight Transport)",VLOOKUP($H48,INDIRECT("Ref_EF_Vehicle_Distance_S3"&amp;"_"&amp;$C48),5,0),
$G48="Custom Vehicle",VLOOKUP($H48,Tbl_vehical_Settings,6,0),
$G48="Custom Fuel",VLOOKUP($M48,Tbl_Fuel_Settings,6,0),
$G48="Weight Distance (e.g. Freight Transport)",VLOOKUP($H48,INDIRECT("Ref_EF_Weight_Distance"&amp;"_"&amp;$C48),5,0),
$G48="Passenger Distance (e.g. Public Transport)",VLOOKUP($H48,INDIRECT("Ref_EF_Public_Transport"&amp;"_"&amp;$C48),5,0)),"")</f>
        <v/>
      </c>
      <c r="AF48" s="31" t="str" cm="1">
        <f t="array" aca="1" ref="AF48" ca="1">IFERROR(_xlfn.IFS(
OR($G48="Fuel Use",$G48="Fuel Use and Vehicle Distance"),VLOOKUP($M48,INDIRECT("Ref_EF_ByFuel"&amp;"_"&amp;$C48),6,0),
$G48="Vehicle Distance (e.g. Road Transport)",VLOOKUP($H48,INDIRECT("Ref_EF_Vehicle_Distance"&amp;"_"&amp;$C48),6,0),
$G48="Vehicle Distance (e.g. Public or Freight Transport)",VLOOKUP($H48,INDIRECT("Ref_EF_Vehicle_Distance_S3"&amp;"_"&amp;$C48),6,0),
$G48="Custom Vehicle",VLOOKUP($H48,Tbl_vehical_Settings,7,0),
$G48="Custom Fuel",VLOOKUP($M48,Tbl_Fuel_Settings,7,0),
$G48="Weight Distance (e.g. Freight Transport)",VLOOKUP($H48,INDIRECT("Ref_EF_Weight_Distance"&amp;"_"&amp;$C48),6,0),
$G48="Passenger Distance (e.g. Public Transport)",VLOOKUP($H48,INDIRECT("Ref_EF_Public_Transport"&amp;"_"&amp;$C48),6,0)),"")</f>
        <v/>
      </c>
      <c r="AG48" s="31" t="str" cm="1">
        <f t="array" aca="1" ref="AG48" ca="1">IFERROR(_xlfn.IFS(
AND($G48="Fuel Use",$E48&lt;&gt;"Road"),VLOOKUP($H48,INDIRECT("Ref_EF_ByFuel_CH4"&amp;"_"&amp;$C48),3,0),
$G48="Vehicle Distance (e.g. Road Transport)",VLOOKUP($H48,INDIRECT("Ref_EF_Vehicle_Distance"&amp;"_"&amp;$C48),7,0),
$G48="Vehicle Distance (e.g. Public or Freight Transport)",VLOOKUP($H48,INDIRECT("Ref_EF_Vehicle_Distance_S3"&amp;"_"&amp;$C48),7,0),
$G48="Fuel Use and Vehicle Distance",VLOOKUP($H48,INDIRECT("Ref_EF_Fuel_Vehicle_Distance"&amp;"_"&amp;$C48),3,0),
$G48="Custom Vehicle",VLOOKUP($H48,Tbl_vehical_Settings,3,0),
$G48="Custom Fuel",VLOOKUP($M48,Tbl_Fuel_Settings,3,0),
$G48="Weight Distance (e.g. Freight Transport)",VLOOKUP($H48,INDIRECT("Ref_EF_Weight_Distance_CH4"&amp;"_"&amp;$C48),3,0),
$G48="Passenger Distance (e.g. Public Transport)",VLOOKUP($H48,INDIRECT("Ref_EF_Public_Transport_CH4"&amp;"_"&amp;$C48),7,0)),"")</f>
        <v/>
      </c>
      <c r="AH48" s="31" t="str" cm="1">
        <f t="array" aca="1" ref="AH48" ca="1">IFERROR(_xlfn.IFS(
AND($G48="Fuel Use",$E48&lt;&gt;"Road"),VLOOKUP($H48,INDIRECT("Ref_EF_ByFuel_CH4"&amp;"_"&amp;$C48),4,0),
$G48="Vehicle Distance (e.g. Road Transport)",VLOOKUP($H48,INDIRECT("Ref_EF_Vehicle_Distance"&amp;"_"&amp;$C48),8,0),
$G48="Vehicle Distance (e.g. Public or Freight Transport)",VLOOKUP($H48,INDIRECT("Ref_EF_Vehicle_Distance_S3"&amp;"_"&amp;$C48),8,0),
$G48="Fuel Use and Vehicle Distance",VLOOKUP($H48,INDIRECT("Ref_EF_Fuel_Vehicle_Distance"&amp;"_"&amp;$C48),4,0),
$G48="Custom Vehicle",VLOOKUP($H48,Tbl_vehical_Settings,6,0),
$G48="Custom Fuel",VLOOKUP($M48,Tbl_Fuel_Settings,6,0),
$G48="Weight Distance (e.g. Freight Transport)",VLOOKUP($H48,INDIRECT("Ref_EF_Weight_Distance_CH4"&amp;"_"&amp;$C48),4,0),
$G48="Passenger Distance (e.g. Public Transport)",VLOOKUP($H48,INDIRECT("Ref_EF_Public_Transport_CH4"&amp;"_"&amp;$C48),8,0)),"")</f>
        <v/>
      </c>
      <c r="AI48" s="31" t="str" cm="1">
        <f t="array" aca="1" ref="AI48" ca="1">IFERROR(_xlfn.IFS(
AND($G48="Fuel Use",$E48&lt;&gt;"Road"),VLOOKUP($H48,INDIRECT("Ref_EF_ByFuel_CH4"&amp;"_"&amp;$C48),5,0),
$G48="Vehicle Distance (e.g. Road Transport)",VLOOKUP($H48,INDIRECT("Ref_EF_Vehicle_Distance"&amp;"_"&amp;$C48),9,0),
$G48="Vehicle Distance (e.g. Public or Freight Transport)",VLOOKUP($H48,INDIRECT("Ref_EF_Vehicle_Distance_S3"&amp;"_"&amp;$C48),9,0),
$G48="Fuel Use and Vehicle Distance",VLOOKUP($H48,INDIRECT("Ref_EF_Fuel_Vehicle_Distance"&amp;"_"&amp;$C48),5,0),
$G48="Custom Vehicle",VLOOKUP($H48,Tbl_vehical_Settings,7,0),
$G48="Custom Fuel",VLOOKUP($M48,Tbl_Fuel_Settings,7,0),
$G48="Weight Distance (e.g. Freight Transport)",VLOOKUP($H48,INDIRECT("Ref_EF_Weight_Distance_CH4"&amp;"_"&amp;$C48),5,0),
$G48="Passenger Distance (e.g. Public Transport)",VLOOKUP($H48,INDIRECT("Ref_EF_Public_Transport_CH4"&amp;"_"&amp;$C48),9,0)),"")</f>
        <v/>
      </c>
      <c r="AJ48" s="31" t="str" cm="1">
        <f t="array" aca="1" ref="AJ48" ca="1">IFERROR(_xlfn.IFS(
AND($G48="Fuel Use",$E48&lt;&gt;"Road"),VLOOKUP($H48,INDIRECT("Ref_EF_ByFuel_CH4"&amp;"_"&amp;$C48),6,0),
$G48="Vehicle Distance (e.g. Road Transport)",VLOOKUP($H48,INDIRECT("Ref_EF_Vehicle_Distance"&amp;"_"&amp;$C48),10,0),
$G48="Vehicle Distance (e.g. Public or Freight Transport)",VLOOKUP($H48,INDIRECT("Ref_EF_Vehicle_Distance_S3"&amp;"_"&amp;$C48),10,0),
$G48="Fuel Use and Vehicle Distance",VLOOKUP($H48,INDIRECT("Ref_EF_Fuel_Vehicle_Distance"&amp;"_"&amp;$C48),6,0),
$G48="Custom Vehicle",VLOOKUP($H48,Tbl_vehical_Settings,4,0),
$G48="Custom Fuel",VLOOKUP($M48,Tbl_Fuel_Settings,4,0),
$G48="Weight Distance (e.g. Freight Transport)",VLOOKUP($H48,INDIRECT("Ref_EF_Weight_Distance_CH4"&amp;"_"&amp;$C48),6,0),
$G48="Passenger Distance (e.g. Public Transport)",VLOOKUP($H48,INDIRECT("Ref_EF_Public_Transport_CH4"&amp;"_"&amp;$C48),10,0)),"")</f>
        <v/>
      </c>
      <c r="AK48" s="31" t="str" cm="1">
        <f t="array" aca="1" ref="AK48" ca="1">IFERROR(_xlfn.IFS(
AND($G48="Fuel Use",$E48&lt;&gt;"Road"),VLOOKUP($H48,INDIRECT("Ref_EF_ByFuel_CH4"&amp;"_"&amp;$C48),7,0),
$G48="Vehicle Distance (e.g. Road Transport)",VLOOKUP($H48,INDIRECT("Ref_EF_Vehicle_Distance"&amp;"_"&amp;$C48),11,0),
$G48="Vehicle Distance (e.g. Public or Freight Transport)",VLOOKUP($H48,INDIRECT("Ref_EF_Vehicle_Distance_S3"&amp;"_"&amp;$C48),11,0),
$G48="Fuel Use and Vehicle Distance",VLOOKUP($H48,INDIRECT("Ref_EF_Fuel_Vehicle_Distance"&amp;"_"&amp;$C48),7,0),
$G48="Custom Vehicle",VLOOKUP($H48,Tbl_vehical_Settings,6,0),
$G48="Custom Fuel",VLOOKUP($M48,Tbl_Fuel_Settings,6,0),
$G48="Weight Distance (e.g. Freight Transport)",VLOOKUP($H48,INDIRECT("Ref_EF_Weight_Distance_CH4"&amp;"_"&amp;$C48),7,0),
$G48="Passenger Distance (e.g. Public Transport)",VLOOKUP($H48,INDIRECT("Ref_EF_Public_Transport_CH4"&amp;"_"&amp;$C48),11,0)),"")</f>
        <v/>
      </c>
      <c r="AL48" s="31" t="str" cm="1">
        <f t="array" aca="1" ref="AL48" ca="1">IFERROR(_xlfn.IFS(
AND($G48="Fuel Use",$E48&lt;&gt;"Road"),VLOOKUP($H48,INDIRECT("Ref_EF_ByFuel_CH4"&amp;"_"&amp;$C48),8,0),
$G48="Vehicle Distance (e.g. Road Transport)",VLOOKUP($H48,INDIRECT("Ref_EF_Vehicle_Distance"&amp;"_"&amp;$C48),12,0),
$G48="Vehicle Distance (e.g. Public or Freight Transport)",VLOOKUP($H48,INDIRECT("Ref_EF_Vehicle_Distance_S3"&amp;"_"&amp;$C48),12,0),
$G48="Fuel Use and Vehicle Distance",VLOOKUP($H48,INDIRECT("Ref_EF_Fuel_Vehicle_Distance"&amp;"_"&amp;$C48),8,0),
$G48="Custom Vehicle",VLOOKUP($H48,Tbl_vehical_Settings,7,0),
$G48="Custom Fuel",VLOOKUP($M48,Tbl_Fuel_Settings,7,0),
$G48="Weight Distance (e.g. Freight Transport)",VLOOKUP($H48,INDIRECT("Ref_EF_Weight_Distance_CH4"&amp;"_"&amp;$C48),8,0),
$G48="Passenger Distance (e.g. Public Transport)",VLOOKUP($H48,INDIRECT("Ref_EF_Public_Transport_CH4"&amp;"_"&amp;$C48),12,0)),"")</f>
        <v/>
      </c>
      <c r="AM48" s="31" t="e">
        <f ca="1">INDEX(Ref_Master_Unit_Table,MATCH($AB48,REF_To_Unit,0),MATCH('Reference - Lookup and Unit'!$A$11,Ref_From_Units,0))</f>
        <v>#N/A</v>
      </c>
      <c r="AN48" s="31" t="e">
        <f t="shared" ca="1" si="0"/>
        <v>#N/A</v>
      </c>
      <c r="AO48" s="31" t="e">
        <f ca="1">INDEX(Ref_Master_Unit_Table,MATCH($AE48,REF_To_Unit,0),MATCH('Reference - Lookup and Unit'!$A$11,Ref_From_Units,0))</f>
        <v>#N/A</v>
      </c>
      <c r="AP48" s="31" t="e">
        <f t="shared" ca="1" si="59"/>
        <v>#N/A</v>
      </c>
      <c r="AQ48" s="31" t="e">
        <f ca="1">INDEX(Ref_Master_Unit_Table,MATCH($AH48,REF_To_Unit,0),MATCH('Reference - Lookup and Unit'!$A$11,Ref_From_Units,0))</f>
        <v>#N/A</v>
      </c>
      <c r="AR48" s="31" t="e">
        <f t="shared" ca="1" si="60"/>
        <v>#N/A</v>
      </c>
      <c r="AS48" s="31" t="e">
        <f ca="1">INDEX(Ref_Master_Unit_Table,MATCH($AK48,REF_To_Unit,0),MATCH('Reference - Lookup and Unit'!$A$11,Ref_From_Units,0))</f>
        <v>#N/A</v>
      </c>
      <c r="AT48" s="31" t="e">
        <f t="shared" ca="1" si="61"/>
        <v>#N/A</v>
      </c>
      <c r="AU48" s="31" t="e" cm="1">
        <f t="array" aca="1" ref="AU48"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48" s="31">
        <f t="shared" ca="1" si="48"/>
        <v>27.9</v>
      </c>
      <c r="AW48" s="31">
        <f t="shared" ca="1" si="49"/>
        <v>273</v>
      </c>
      <c r="AX48" s="31" t="e" cm="1">
        <f t="array" aca="1" ref="AX48"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48" s="25" t="e" cm="1">
        <f t="array" ref="AY48">_xlfn.IFS(
AND($E48&lt;&gt;"",$G48="Custom Fuel"),("Settings_Custom_Fuels"),
AND($E48&lt;&gt;"",$G48="Custom vehicle"),("Settings_Custom_Vehicle"),
AND($E48&lt;&gt;"",$G48="Fuel Use"),("Ref_DD_vehicle_FuelUse"&amp;"_"&amp;C48&amp;"_"&amp;E48),
AND($E48&lt;&gt;"",$G48="Fuel Use and Vehicle Distance"),("Ref_DD_Fuel_VehicleDistance"&amp;"_"&amp;C48&amp;"_"&amp;E48),
AND($E48&lt;&gt;"",$G48="Vehicle Distance (e.g. Road Transport)"),("Ref_DD_vehicle_VehicleDistance"&amp;"_"&amp;C48&amp;"_"&amp;E48),
AND($E48&lt;&gt;"",$G48="Weight Distance (e.g. Freight Transport)"),("Ref_DD_vehicle_WeightDistance"&amp;"_"&amp;C48&amp;"_"&amp;E48),
AND($E48&lt;&gt;"",$G48="Vehicle Distance (e.g. Public or Freight Transport)"),("Ref_DD_vehicle_DistanceS3"&amp;"_"&amp;C48),
AND($E48&lt;&gt;"",$G48="Passenger Distance (e.g. Public Transport)"),("Ref_DD_vehicle_Passenger"&amp;"_"&amp;C48&amp;"_"&amp;E48),
AND($E48="",$G48="Fuel Use"),("Ref_DD_vehicle_FuelUse"&amp;"_"&amp;C48),
AND($E48="",OR($G48="Vehicle Distance (e.g. Road Transport)",$G48="Fuel Use and Vehicle Distance")),("Ref_DD_vehicle_VehicleDistance"&amp;"_"&amp;C48),
AND($E48="",$G48="Weight Distance (e.g. Freight Transport)"),("Ref_DD_vehicle_WeightDistance"&amp;"_"&amp;C48),
AND($E48="",$G48="Vehicle Distance (e.g. Public or Freight Transport)"),("Ref_DD_vehicle_DistanceS3"&amp;"_"&amp;C48),
AND($E48="",$G48="Passenger Distance (e.g. Public Transport)"),("Ref_DD_vehicle_Passenger"&amp;"_"&amp;C48))</f>
        <v>#N/A</v>
      </c>
      <c r="AZ48" s="25" t="b">
        <f t="shared" ca="1" si="4"/>
        <v>0</v>
      </c>
      <c r="BA48" s="25" t="str">
        <f t="shared" si="5"/>
        <v/>
      </c>
      <c r="BB48" s="25" t="str">
        <f t="shared" si="6"/>
        <v/>
      </c>
      <c r="BC48" s="25" t="str">
        <f t="shared" si="50"/>
        <v/>
      </c>
      <c r="BD48" s="25" t="str">
        <f t="shared" si="51"/>
        <v/>
      </c>
      <c r="BE48" s="25" t="str">
        <f t="shared" si="52"/>
        <v/>
      </c>
      <c r="BF48" s="25" t="str">
        <f t="shared" si="53"/>
        <v/>
      </c>
      <c r="BG48" s="25" t="str">
        <f t="shared" si="7"/>
        <v/>
      </c>
      <c r="BH48" s="25" t="str">
        <f t="shared" si="8"/>
        <v/>
      </c>
      <c r="BI48" s="25" t="str">
        <f t="shared" si="54"/>
        <v/>
      </c>
      <c r="BJ48" s="25" t="str">
        <f t="shared" si="55"/>
        <v/>
      </c>
      <c r="BK48" s="25" t="str">
        <f t="shared" si="56"/>
        <v/>
      </c>
      <c r="BL48" s="25" t="str">
        <f t="shared" si="57"/>
        <v/>
      </c>
      <c r="BM48" s="25" t="str">
        <f t="shared" si="9"/>
        <v/>
      </c>
      <c r="BN48" s="25" t="str">
        <f t="shared" ca="1" si="10"/>
        <v/>
      </c>
      <c r="BO48" s="25" t="str">
        <f t="shared" si="11"/>
        <v/>
      </c>
      <c r="BP48" s="25" t="str">
        <f t="shared" si="12"/>
        <v/>
      </c>
      <c r="BQ48" s="25" t="str">
        <f t="shared" si="13"/>
        <v/>
      </c>
      <c r="BR48" s="25" t="str">
        <f t="shared" si="14"/>
        <v/>
      </c>
      <c r="BS48" s="25" t="str">
        <f t="shared" si="15"/>
        <v/>
      </c>
      <c r="BT48" s="25" t="str">
        <f t="shared" si="16"/>
        <v/>
      </c>
      <c r="BU48" s="25" t="str">
        <f t="shared" si="17"/>
        <v/>
      </c>
      <c r="BV48" s="25" t="str">
        <f t="shared" si="18"/>
        <v/>
      </c>
      <c r="BW48" s="25" t="str">
        <f t="shared" si="19"/>
        <v/>
      </c>
      <c r="BX48" s="25" t="str">
        <f t="shared" si="20"/>
        <v/>
      </c>
      <c r="BY48" s="25" t="str">
        <f t="shared" si="21"/>
        <v/>
      </c>
      <c r="BZ48" s="25" t="str">
        <f t="shared" si="22"/>
        <v/>
      </c>
      <c r="CA48" s="25" t="str">
        <f t="shared" si="23"/>
        <v/>
      </c>
      <c r="CB48" s="25" t="str">
        <f t="shared" si="24"/>
        <v/>
      </c>
      <c r="CC48" s="25" t="str">
        <f t="shared" si="25"/>
        <v/>
      </c>
      <c r="CD48" s="25" t="str">
        <f t="shared" si="26"/>
        <v/>
      </c>
      <c r="CE48" s="25" t="str">
        <f t="shared" si="27"/>
        <v/>
      </c>
      <c r="CF48" s="25" t="str">
        <f t="shared" si="28"/>
        <v/>
      </c>
      <c r="CG48" s="25" t="str">
        <f t="shared" si="29"/>
        <v/>
      </c>
      <c r="CH48" s="25" t="str">
        <f t="shared" si="30"/>
        <v/>
      </c>
      <c r="CI48" s="25" t="str">
        <f t="shared" si="31"/>
        <v/>
      </c>
      <c r="CJ48" s="25" t="str">
        <f t="shared" si="32"/>
        <v/>
      </c>
      <c r="CK48" s="25" t="str">
        <f t="shared" si="33"/>
        <v/>
      </c>
      <c r="CL48" s="25" t="str">
        <f t="shared" si="34"/>
        <v/>
      </c>
      <c r="CM48" s="25" t="str">
        <f t="shared" si="35"/>
        <v/>
      </c>
      <c r="CN48" s="25" t="str">
        <f t="shared" si="36"/>
        <v/>
      </c>
      <c r="CO48" s="25" t="str">
        <f t="shared" si="37"/>
        <v/>
      </c>
      <c r="CP48" s="25" t="str">
        <f t="shared" si="38"/>
        <v/>
      </c>
      <c r="CQ48" s="25" t="str">
        <f t="shared" si="39"/>
        <v/>
      </c>
      <c r="CR48" s="25" t="str">
        <f t="shared" si="40"/>
        <v/>
      </c>
      <c r="CS48" s="25" t="str">
        <f t="shared" si="41"/>
        <v/>
      </c>
      <c r="CT48" s="25" t="str">
        <f t="shared" si="42"/>
        <v/>
      </c>
      <c r="CU48" s="25" t="str">
        <f t="shared" si="43"/>
        <v/>
      </c>
      <c r="CV48" s="25" t="str">
        <f t="shared" si="44"/>
        <v/>
      </c>
      <c r="CW48" s="25" t="str">
        <f t="shared" si="45"/>
        <v/>
      </c>
      <c r="CX48" s="25" t="str" cm="1">
        <f t="array" ref="CX48">_xlfn.IFNA(_xlfn.IFS(
$G48="Weight Distance (e.g. Freight Transport)","Ref_DD_WeightDistanceUnits",
$G48="Passenger Distance (e.g. Public Transport)","Ref_DD_PasengerDistanceUnits",
$G48="Vehicle Distance (e.g. Road Transport)", "Ref_DD_DistanceUnit",
$G48="Vehicle Distance (e.g. Public or Freight Transport)","Ref_DD_DistanceUnit",
$G48="Fuel Use and Vehicle Distance", "Ref_DD_DistanceUnit",
$G48="Custom Vehicle",VLOOKUP($H48,'2. Settings'!$B$39:$I$54,8,FALSE)),"")</f>
        <v/>
      </c>
      <c r="CY48" s="27" t="str">
        <f ca="1">IF(AND(ISERROR(#REF!*$AU48)=TRUE,ISERROR((S48/1000)*$AV48)=TRUE,ISERROR((T48/1000)*$AW48)=FALSE),((T48/1000)*$AW48),"")</f>
        <v/>
      </c>
      <c r="CZ48" s="27" cm="1">
        <f t="array" ref="CZ48">IFERROR(_xlfn.IFS(
AND($G48="Custom vehicle",OR($J48="Passenger Mile",$J48="Passenger Kilometer")),"Passenger Distance (e.g. Public Transport)",
AND($G48="Custom vehicle",OR($J48="Tonne Mile",$J48="Tonne Kilometer",$J48="Short Ton Kilometer",$J48="Short Ton Mile")),"Weight Distance (e.g. Freight Transport)",
AND($G48="Custom vehicle",OR($J48="Mile",$J48="Kilometer")),"Vehicle Distance (e.g. Road Transport)",
$G48&lt;&gt;"Custom vehicle",$G48),"")</f>
        <v>0</v>
      </c>
      <c r="DA48" s="27" t="str" cm="1">
        <f t="array" ref="DA48">IFERROR(_xlfn.IFS(OR(J48="Tonne Kilometer",J48="Tonne Mile",J48="Short Ton Mile",J48="Short Ton Kilometer"),I48*K48,OR(J48="Passenger Kilometer",J48="Passenger Mile"),I48*L48,OR(J48="Kilometer",J48="Mile"),$I48),"")</f>
        <v/>
      </c>
    </row>
    <row r="49" spans="2:105" x14ac:dyDescent="0.25">
      <c r="B49" s="244"/>
      <c r="C49" s="71" t="str" cm="1">
        <f t="array" ref="C49">IFERROR(_xlfn.IFS($D49="Other", D49&amp;"_" &amp;Ref_Other_to,OR($D49="UK", $D49="US"),$D49),"")</f>
        <v/>
      </c>
      <c r="D49" s="71"/>
      <c r="E49" s="71"/>
      <c r="F49" s="71"/>
      <c r="G49" s="72"/>
      <c r="H49" s="72"/>
      <c r="I49" s="73"/>
      <c r="J49" s="73"/>
      <c r="K49" s="73"/>
      <c r="L49" s="73"/>
      <c r="M49" s="74"/>
      <c r="N49" s="75"/>
      <c r="O49" s="71"/>
      <c r="P49" s="165" t="str">
        <f t="shared" si="58"/>
        <v/>
      </c>
      <c r="Q49" s="166" t="str">
        <f t="shared" si="46"/>
        <v/>
      </c>
      <c r="R49" s="76" t="str" cm="1">
        <f t="array" aca="1" ref="R49" ca="1">IFERROR(_xlfn.IFS(
AND(AA49&gt;0, OR($G49="Fuel Use",$G49="Custom Fuel")),$N49*$AA49*$AM49*$AN49,
AND(AA49&gt;0,$CZ49="Vehicle Distance (e.g. Road Transport)"),$I49*$AA49*$AM49*$AN49,
AND(AA49&gt;0,$CZ49="Vehicle Distance (e.g. Public or Freight Transport)"),$I49*$AA49*$AM49*$AN49,
AND(AA49&gt;0,$CZ49="Fuel Use and Vehicle Distance"),$N49*$AA49*$AM49*$AN49,
AND(AA49&gt;0,$CZ49="Passenger Distance (e.g. Public Transport)"),$DA49*$AA49*$AM49*$AN49,
AND(AA49&gt;0,$CZ49="Weight Distance (e.g. Freight Transport)"),$DA49*$AA49*$AM49*$AN49),"")</f>
        <v/>
      </c>
      <c r="S49" s="77" t="str" cm="1">
        <f t="array" aca="1" ref="S49" ca="1">IFERROR(_xlfn.IFS(
AND(AG49&gt;-1, $G49="Fuel Use and Vehicle Distance"),$I49*$AG49*$AQ49*$AR49,
AND(AG49&gt;-1, $G49="Vehicle Distance (e.g. Road Transport)"),$I49*$AG49*$AQ49*$AR49,
AND(AG49&gt;-1, $CZ49="Vehicle Distance (e.g. Public or Freight Transport)"),$I49*$AG49*$AQ49*$AR49,
AND(AG49&gt;-1, OR($G49="Fuel Use",$G49="Custom Fuel")), $N49*$AG49*$AQ49*$AR49*1000,
AND(AG49&gt;-1, $G49="Custom Vehicle"),$DA49*$AG49*$AQ49*$AR49*1000,
AND(AG49&gt;-1, AND($G49&lt;&gt;"Custom Vehicle",$CZ49="Weight Distance (e.g. Freight Transport)")),$DA49*$AG49*$AQ49*$AR49*1000,
AND(AG49&gt;-1, AND($G49&lt;&gt;"Custom Vehicle",$CZ49="Passenger Distance (e.g. Public Transport)")), $DA49*$AG49*$AQ49*$AR49*1000),"")</f>
        <v/>
      </c>
      <c r="T49" s="77" t="str" cm="1">
        <f t="array" aca="1" ref="T49" ca="1">IFERROR(_xlfn.IFS(
AND(AJ49&gt;0,$G49="Fuel Use and Vehicle Distance"),$I49*$AJ49*$AS49*$AT49,
AND(AJ49&gt;0,$G49="Vehicle Distance (e.g. Road Transport)"),$I49*$AJ49*$AS49*$AT49,
AND(AJ49&gt;0,$G49="Vehicle Distance (e.g. Public or Freight Transport)"),$I49*$AJ49*$AS49*$AT49,
AND(AJ49&gt;0,OR($G49="Fuel Use",$G49="Custom Fuel")), $N49*$AJ49*$AS49*$AT49*1000,
AND(AJ49&gt;0,$G49="Custom Vehicle"),$DA49*$AJ49*$AS49*$AT49*1000,
AND(AJ49&gt;0,AND($G49&lt;&gt;"Custom Vehicle",$CZ49="Weight Distance (e.g. Freight Transport)")),$DA49*$AJ49*$AS49*$AT49*1000,
AND(AJ49&gt;0,AND($G49&lt;&gt;"Custom Vehicle",$CZ49="Passenger Distance (e.g. Public Transport)")), $DA49*$AJ49*$AS49*$AT49*1000),"")</f>
        <v/>
      </c>
      <c r="U49" s="78" t="str">
        <f t="shared" ca="1" si="47"/>
        <v/>
      </c>
      <c r="V49" s="161" t="str" cm="1">
        <f t="array" aca="1" ref="V49" ca="1">IFERROR(_xlfn.IFS(
AND(AD49&gt;0,OR($CZ49="Fuel Use",$CZ49="Custom Fuel",$CZ49="Fuel Use and Vehicle Distance")),($N49*$AD49*$AO49*$AP49),
AND(AD49&gt;0,$G49="Custom Vehicle"),$DA49*$AD49*$AO49*$AP49,
AND(AD49&gt;0,$CZ49="Vehicle Distance (e.g. Public or Freight Transport)"),$I49*$AD49*$AM49*$AN49,
AND(AD49&gt;0,$CZ49="Weight Distance (e.g. Freight Transport)"),($I49*$K49*$AD49*$AO49*$AP49),
AND(AD49&gt;0,$CZ49="Passenger Distance (e.g. Public Transport)"),$I49*$L49*$AD49*$AO49*$AP49,
AND(AD49&gt;0,$CZ49="Vehicle Distance (e.g. Road Transport)"),($I49*$AD49*$AO49*$AP49)),"")</f>
        <v/>
      </c>
      <c r="W49" s="164" t="str" cm="1">
        <f t="array" aca="1" ref="W49" ca="1">IFERROR(_xlfn.IFS(AND(ISNUMBER(R49),AA49=0),AA49&amp;" "&amp;"("&amp;AB49&amp;" CO2/"&amp;AC49&amp;")",AND(ISNUMBER(R49),AA49&gt;0),ROUND(AA49,INT(3-LOG(AA49)))&amp;" "&amp;"("&amp;AB49&amp;" CO2/"&amp;AC49&amp;")"),"")</f>
        <v/>
      </c>
      <c r="X49" s="164" t="str" cm="1">
        <f t="array" aca="1" ref="X49" ca="1">IFERROR(_xlfn.IFS(AND(ISNUMBER(S49), AG49=0),AG49&amp;" "&amp;"("&amp;AH49&amp;" CH4/"&amp;AI49&amp;")",AND(ISNUMBER(S49), AG49&gt;0),ROUND(AG49,INT(3-LOG(AG49)))&amp;" "&amp;"("&amp;AH49&amp;" CH4/"&amp;AI49&amp;")"),"")</f>
        <v/>
      </c>
      <c r="Y49" s="164" t="str" cm="1">
        <f t="array" aca="1" ref="Y49" ca="1">IFERROR(_xlfn.IFS(AND(ISNUMBER(T49), AJ49=0),AJ49&amp;" "&amp;"("&amp;AK49&amp;" CH4/"&amp;AL49&amp;")",AND(ISNUMBER(T49), AJ49&gt;0),ROUND(AJ49,INT(3-LOG(AJ49)))&amp;" "&amp;"("&amp;AK49&amp;" N2O/"&amp;AL49&amp;")"),"")</f>
        <v/>
      </c>
      <c r="Z49" s="245" t="str" cm="1">
        <f t="array" aca="1" ref="Z49" ca="1">IFERROR(_xlfn.IFS(AND(ISNUMBER(V49),AD49=0),AD49&amp;" "&amp;"("&amp;AE49&amp;" CO2/"&amp;AF49&amp;")",AND(ISNUMBER(V49),AD49&gt;0),ROUND(AD49,INT(3-LOG(AD49)))&amp;" "&amp;"("&amp;AE49&amp;" CO2/"&amp;AF49&amp;")"),"")</f>
        <v/>
      </c>
      <c r="AA49" s="240" t="str" cm="1">
        <f t="array" aca="1" ref="AA49" ca="1">IFERROR(_xlfn.IFS(
OR($G49="Fuel Use",$G49="Fuel Use and Vehicle Distance"),VLOOKUP($M49,INDIRECT("Ref_EF_ByFuel"&amp;"_"&amp;$C49),3,0),
$G49="Vehicle Distance (e.g. Road Transport)",VLOOKUP($H49,INDIRECT("Ref_EF_Vehicle_Distance"&amp;"_"&amp;$C49),3,0),
$G49="Vehicle Distance (e.g. Public or Freight Transport)",VLOOKUP($H49,INDIRECT("Ref_EF_Vehicle_Distance_S3"&amp;"_"&amp;$C49),3,0),
$G49="Custom Vehicle",VLOOKUP($H49,Tbl_vehical_Settings,2,0),
$G49="Custom Fuel",VLOOKUP($M49,Tbl_Fuel_Settings,2,0),
$G49="Weight Distance (e.g. Freight Transport)",VLOOKUP($H49,INDIRECT("Ref_EF_Weight_Distance"&amp;"_"&amp;$C49),3,0),
$G49="Passenger Distance (e.g. Public Transport)",VLOOKUP($H49,INDIRECT("Ref_EF_Public_Transport"&amp;"_"&amp;$C49),3,0)),"")</f>
        <v/>
      </c>
      <c r="AB49" s="31" t="str" cm="1">
        <f t="array" aca="1" ref="AB49" ca="1">IFERROR(_xlfn.IFS(
OR($G49="Fuel Use",$G49="Fuel Use and Vehicle Distance"),VLOOKUP($M49,INDIRECT("Ref_EF_ByFuel"&amp;"_"&amp;$C49),5,0),
$G49="Vehicle Distance (e.g. Road Transport)",VLOOKUP($H49,INDIRECT("Ref_EF_Vehicle_Distance"&amp;"_"&amp;$C49),5,0),
$G49="Vehicle Distance (e.g. Public or Freight Transport)",VLOOKUP($H49,INDIRECT("Ref_EF_Vehicle_Distance_S3"&amp;"_"&amp;$C49),5,0),
$G49="Custom Vehicle",VLOOKUP($H49,Tbl_vehical_Settings,6,0),
$G49="Custom Fuel",VLOOKUP($M49,Tbl_Fuel_Settings,6,0),
$G49="Weight Distance (e.g. Freight Transport)",VLOOKUP($H49,INDIRECT("Ref_EF_Weight_Distance"&amp;"_"&amp;$C49),5,0),
$G49="Passenger Distance (e.g. Public Transport)",VLOOKUP($H49,INDIRECT("Ref_EF_Public_Transport"&amp;"_"&amp;$C49),5,0)),"")</f>
        <v/>
      </c>
      <c r="AC49" s="31" t="str" cm="1">
        <f t="array" aca="1" ref="AC49" ca="1">IFERROR(_xlfn.IFS(
OR($G49="Fuel Use",$G49="Fuel Use and Vehicle Distance"),VLOOKUP($M49,INDIRECT("Ref_EF_ByFuel"&amp;"_"&amp;$C49),6,0),
$G49="Vehicle Distance (e.g. Road Transport)",VLOOKUP($H49,INDIRECT("Ref_EF_Vehicle_Distance"&amp;"_"&amp;$C49),6,0),
$G49="Vehicle Distance (e.g. Public or Freight Transport)",VLOOKUP($H49,INDIRECT("Ref_EF_Vehicle_Distance_S3"&amp;"_"&amp;$C49),6,0),
$G49="Custom Vehicle",VLOOKUP($H49,Tbl_vehical_Settings,7,0),
$G49="Custom Fuel",VLOOKUP($M49,Tbl_Fuel_Settings,7,0),
$G49="Weight Distance (e.g. Freight Transport)",VLOOKUP($H49,INDIRECT("Ref_EF_Weight_Distance"&amp;"_"&amp;$C49),6,0),
$G49="Passenger Distance (e.g. Public Transport)",VLOOKUP($H49,INDIRECT("Ref_EF_Public_Transport"&amp;"_"&amp;$C49),6,0)),"")</f>
        <v/>
      </c>
      <c r="AD49" s="31" t="str" cm="1">
        <f t="array" aca="1" ref="AD49" ca="1">IFERROR(_xlfn.IFS(
OR($G49="Fuel Use",$G49="Fuel Use and Vehicle Distance"),VLOOKUP($M49,INDIRECT("Ref_EF_ByFuel"&amp;"_"&amp;$C49),4,0),
$G49="Vehicle Distance (e.g. Road Transport)",VLOOKUP($H49,INDIRECT("Ref_EF_Vehicle_Distance"&amp;"_"&amp;$C49),4,0),
$G49="Vehicle Distance (e.g. Public or Freight Transport)",VLOOKUP($H49,INDIRECT("Ref_EF_Vehicle_Distance_S3"&amp;"_"&amp;$C49),4,0),
$G49="Custom Vehicle",VLOOKUP($H49,Tbl_vehical_Settings,5,0),
$G49="Custom Fuel",VLOOKUP($M49,Tbl_Fuel_Settings,5,0),
$G49="Weight Distance (e.g. Freight Transport)",VLOOKUP($H49,INDIRECT("Ref_EF_Weight_Distance"&amp;"_"&amp;$C49),4,0),
$G49="Passenger Distance (e.g. Public Transport)",VLOOKUP($H49,INDIRECT("Ref_EF_Public_Transport"&amp;"_"&amp;$C49),4,0)),"")</f>
        <v/>
      </c>
      <c r="AE49" s="31" t="str" cm="1">
        <f t="array" aca="1" ref="AE49" ca="1">IFERROR(_xlfn.IFS(
OR($G49="Fuel Use",$G49="Fuel Use and Vehicle Distance"),VLOOKUP($M49,INDIRECT("Ref_EF_ByFuel"&amp;"_"&amp;$C49),5,0),
$G49="Vehicle Distance (e.g. Road Transport)",VLOOKUP($H49,INDIRECT("Ref_EF_Vehicle_Distance"&amp;"_"&amp;$C49),5,0),
$G49="Vehicle Distance (e.g. Public or Freight Transport)",VLOOKUP($H49,INDIRECT("Ref_EF_Vehicle_Distance_S3"&amp;"_"&amp;$C49),5,0),
$G49="Custom Vehicle",VLOOKUP($H49,Tbl_vehical_Settings,6,0),
$G49="Custom Fuel",VLOOKUP($M49,Tbl_Fuel_Settings,6,0),
$G49="Weight Distance (e.g. Freight Transport)",VLOOKUP($H49,INDIRECT("Ref_EF_Weight_Distance"&amp;"_"&amp;$C49),5,0),
$G49="Passenger Distance (e.g. Public Transport)",VLOOKUP($H49,INDIRECT("Ref_EF_Public_Transport"&amp;"_"&amp;$C49),5,0)),"")</f>
        <v/>
      </c>
      <c r="AF49" s="31" t="str" cm="1">
        <f t="array" aca="1" ref="AF49" ca="1">IFERROR(_xlfn.IFS(
OR($G49="Fuel Use",$G49="Fuel Use and Vehicle Distance"),VLOOKUP($M49,INDIRECT("Ref_EF_ByFuel"&amp;"_"&amp;$C49),6,0),
$G49="Vehicle Distance (e.g. Road Transport)",VLOOKUP($H49,INDIRECT("Ref_EF_Vehicle_Distance"&amp;"_"&amp;$C49),6,0),
$G49="Vehicle Distance (e.g. Public or Freight Transport)",VLOOKUP($H49,INDIRECT("Ref_EF_Vehicle_Distance_S3"&amp;"_"&amp;$C49),6,0),
$G49="Custom Vehicle",VLOOKUP($H49,Tbl_vehical_Settings,7,0),
$G49="Custom Fuel",VLOOKUP($M49,Tbl_Fuel_Settings,7,0),
$G49="Weight Distance (e.g. Freight Transport)",VLOOKUP($H49,INDIRECT("Ref_EF_Weight_Distance"&amp;"_"&amp;$C49),6,0),
$G49="Passenger Distance (e.g. Public Transport)",VLOOKUP($H49,INDIRECT("Ref_EF_Public_Transport"&amp;"_"&amp;$C49),6,0)),"")</f>
        <v/>
      </c>
      <c r="AG49" s="31" t="str" cm="1">
        <f t="array" aca="1" ref="AG49" ca="1">IFERROR(_xlfn.IFS(
AND($G49="Fuel Use",$E49&lt;&gt;"Road"),VLOOKUP($H49,INDIRECT("Ref_EF_ByFuel_CH4"&amp;"_"&amp;$C49),3,0),
$G49="Vehicle Distance (e.g. Road Transport)",VLOOKUP($H49,INDIRECT("Ref_EF_Vehicle_Distance"&amp;"_"&amp;$C49),7,0),
$G49="Vehicle Distance (e.g. Public or Freight Transport)",VLOOKUP($H49,INDIRECT("Ref_EF_Vehicle_Distance_S3"&amp;"_"&amp;$C49),7,0),
$G49="Fuel Use and Vehicle Distance",VLOOKUP($H49,INDIRECT("Ref_EF_Fuel_Vehicle_Distance"&amp;"_"&amp;$C49),3,0),
$G49="Custom Vehicle",VLOOKUP($H49,Tbl_vehical_Settings,3,0),
$G49="Custom Fuel",VLOOKUP($M49,Tbl_Fuel_Settings,3,0),
$G49="Weight Distance (e.g. Freight Transport)",VLOOKUP($H49,INDIRECT("Ref_EF_Weight_Distance_CH4"&amp;"_"&amp;$C49),3,0),
$G49="Passenger Distance (e.g. Public Transport)",VLOOKUP($H49,INDIRECT("Ref_EF_Public_Transport_CH4"&amp;"_"&amp;$C49),7,0)),"")</f>
        <v/>
      </c>
      <c r="AH49" s="31" t="str" cm="1">
        <f t="array" aca="1" ref="AH49" ca="1">IFERROR(_xlfn.IFS(
AND($G49="Fuel Use",$E49&lt;&gt;"Road"),VLOOKUP($H49,INDIRECT("Ref_EF_ByFuel_CH4"&amp;"_"&amp;$C49),4,0),
$G49="Vehicle Distance (e.g. Road Transport)",VLOOKUP($H49,INDIRECT("Ref_EF_Vehicle_Distance"&amp;"_"&amp;$C49),8,0),
$G49="Vehicle Distance (e.g. Public or Freight Transport)",VLOOKUP($H49,INDIRECT("Ref_EF_Vehicle_Distance_S3"&amp;"_"&amp;$C49),8,0),
$G49="Fuel Use and Vehicle Distance",VLOOKUP($H49,INDIRECT("Ref_EF_Fuel_Vehicle_Distance"&amp;"_"&amp;$C49),4,0),
$G49="Custom Vehicle",VLOOKUP($H49,Tbl_vehical_Settings,6,0),
$G49="Custom Fuel",VLOOKUP($M49,Tbl_Fuel_Settings,6,0),
$G49="Weight Distance (e.g. Freight Transport)",VLOOKUP($H49,INDIRECT("Ref_EF_Weight_Distance_CH4"&amp;"_"&amp;$C49),4,0),
$G49="Passenger Distance (e.g. Public Transport)",VLOOKUP($H49,INDIRECT("Ref_EF_Public_Transport_CH4"&amp;"_"&amp;$C49),8,0)),"")</f>
        <v/>
      </c>
      <c r="AI49" s="31" t="str" cm="1">
        <f t="array" aca="1" ref="AI49" ca="1">IFERROR(_xlfn.IFS(
AND($G49="Fuel Use",$E49&lt;&gt;"Road"),VLOOKUP($H49,INDIRECT("Ref_EF_ByFuel_CH4"&amp;"_"&amp;$C49),5,0),
$G49="Vehicle Distance (e.g. Road Transport)",VLOOKUP($H49,INDIRECT("Ref_EF_Vehicle_Distance"&amp;"_"&amp;$C49),9,0),
$G49="Vehicle Distance (e.g. Public or Freight Transport)",VLOOKUP($H49,INDIRECT("Ref_EF_Vehicle_Distance_S3"&amp;"_"&amp;$C49),9,0),
$G49="Fuel Use and Vehicle Distance",VLOOKUP($H49,INDIRECT("Ref_EF_Fuel_Vehicle_Distance"&amp;"_"&amp;$C49),5,0),
$G49="Custom Vehicle",VLOOKUP($H49,Tbl_vehical_Settings,7,0),
$G49="Custom Fuel",VLOOKUP($M49,Tbl_Fuel_Settings,7,0),
$G49="Weight Distance (e.g. Freight Transport)",VLOOKUP($H49,INDIRECT("Ref_EF_Weight_Distance_CH4"&amp;"_"&amp;$C49),5,0),
$G49="Passenger Distance (e.g. Public Transport)",VLOOKUP($H49,INDIRECT("Ref_EF_Public_Transport_CH4"&amp;"_"&amp;$C49),9,0)),"")</f>
        <v/>
      </c>
      <c r="AJ49" s="31" t="str" cm="1">
        <f t="array" aca="1" ref="AJ49" ca="1">IFERROR(_xlfn.IFS(
AND($G49="Fuel Use",$E49&lt;&gt;"Road"),VLOOKUP($H49,INDIRECT("Ref_EF_ByFuel_CH4"&amp;"_"&amp;$C49),6,0),
$G49="Vehicle Distance (e.g. Road Transport)",VLOOKUP($H49,INDIRECT("Ref_EF_Vehicle_Distance"&amp;"_"&amp;$C49),10,0),
$G49="Vehicle Distance (e.g. Public or Freight Transport)",VLOOKUP($H49,INDIRECT("Ref_EF_Vehicle_Distance_S3"&amp;"_"&amp;$C49),10,0),
$G49="Fuel Use and Vehicle Distance",VLOOKUP($H49,INDIRECT("Ref_EF_Fuel_Vehicle_Distance"&amp;"_"&amp;$C49),6,0),
$G49="Custom Vehicle",VLOOKUP($H49,Tbl_vehical_Settings,4,0),
$G49="Custom Fuel",VLOOKUP($M49,Tbl_Fuel_Settings,4,0),
$G49="Weight Distance (e.g. Freight Transport)",VLOOKUP($H49,INDIRECT("Ref_EF_Weight_Distance_CH4"&amp;"_"&amp;$C49),6,0),
$G49="Passenger Distance (e.g. Public Transport)",VLOOKUP($H49,INDIRECT("Ref_EF_Public_Transport_CH4"&amp;"_"&amp;$C49),10,0)),"")</f>
        <v/>
      </c>
      <c r="AK49" s="31" t="str" cm="1">
        <f t="array" aca="1" ref="AK49" ca="1">IFERROR(_xlfn.IFS(
AND($G49="Fuel Use",$E49&lt;&gt;"Road"),VLOOKUP($H49,INDIRECT("Ref_EF_ByFuel_CH4"&amp;"_"&amp;$C49),7,0),
$G49="Vehicle Distance (e.g. Road Transport)",VLOOKUP($H49,INDIRECT("Ref_EF_Vehicle_Distance"&amp;"_"&amp;$C49),11,0),
$G49="Vehicle Distance (e.g. Public or Freight Transport)",VLOOKUP($H49,INDIRECT("Ref_EF_Vehicle_Distance_S3"&amp;"_"&amp;$C49),11,0),
$G49="Fuel Use and Vehicle Distance",VLOOKUP($H49,INDIRECT("Ref_EF_Fuel_Vehicle_Distance"&amp;"_"&amp;$C49),7,0),
$G49="Custom Vehicle",VLOOKUP($H49,Tbl_vehical_Settings,6,0),
$G49="Custom Fuel",VLOOKUP($M49,Tbl_Fuel_Settings,6,0),
$G49="Weight Distance (e.g. Freight Transport)",VLOOKUP($H49,INDIRECT("Ref_EF_Weight_Distance_CH4"&amp;"_"&amp;$C49),7,0),
$G49="Passenger Distance (e.g. Public Transport)",VLOOKUP($H49,INDIRECT("Ref_EF_Public_Transport_CH4"&amp;"_"&amp;$C49),11,0)),"")</f>
        <v/>
      </c>
      <c r="AL49" s="31" t="str" cm="1">
        <f t="array" aca="1" ref="AL49" ca="1">IFERROR(_xlfn.IFS(
AND($G49="Fuel Use",$E49&lt;&gt;"Road"),VLOOKUP($H49,INDIRECT("Ref_EF_ByFuel_CH4"&amp;"_"&amp;$C49),8,0),
$G49="Vehicle Distance (e.g. Road Transport)",VLOOKUP($H49,INDIRECT("Ref_EF_Vehicle_Distance"&amp;"_"&amp;$C49),12,0),
$G49="Vehicle Distance (e.g. Public or Freight Transport)",VLOOKUP($H49,INDIRECT("Ref_EF_Vehicle_Distance_S3"&amp;"_"&amp;$C49),12,0),
$G49="Fuel Use and Vehicle Distance",VLOOKUP($H49,INDIRECT("Ref_EF_Fuel_Vehicle_Distance"&amp;"_"&amp;$C49),8,0),
$G49="Custom Vehicle",VLOOKUP($H49,Tbl_vehical_Settings,7,0),
$G49="Custom Fuel",VLOOKUP($M49,Tbl_Fuel_Settings,7,0),
$G49="Weight Distance (e.g. Freight Transport)",VLOOKUP($H49,INDIRECT("Ref_EF_Weight_Distance_CH4"&amp;"_"&amp;$C49),8,0),
$G49="Passenger Distance (e.g. Public Transport)",VLOOKUP($H49,INDIRECT("Ref_EF_Public_Transport_CH4"&amp;"_"&amp;$C49),12,0)),"")</f>
        <v/>
      </c>
      <c r="AM49" s="31" t="e">
        <f ca="1">INDEX(Ref_Master_Unit_Table,MATCH($AB49,REF_To_Unit,0),MATCH('Reference - Lookup and Unit'!$A$11,Ref_From_Units,0))</f>
        <v>#N/A</v>
      </c>
      <c r="AN49" s="31" t="e">
        <f t="shared" ca="1" si="0"/>
        <v>#N/A</v>
      </c>
      <c r="AO49" s="31" t="e">
        <f ca="1">INDEX(Ref_Master_Unit_Table,MATCH($AE49,REF_To_Unit,0),MATCH('Reference - Lookup and Unit'!$A$11,Ref_From_Units,0))</f>
        <v>#N/A</v>
      </c>
      <c r="AP49" s="31" t="e">
        <f t="shared" ca="1" si="59"/>
        <v>#N/A</v>
      </c>
      <c r="AQ49" s="31" t="e">
        <f ca="1">INDEX(Ref_Master_Unit_Table,MATCH($AH49,REF_To_Unit,0),MATCH('Reference - Lookup and Unit'!$A$11,Ref_From_Units,0))</f>
        <v>#N/A</v>
      </c>
      <c r="AR49" s="31" t="e">
        <f t="shared" ca="1" si="60"/>
        <v>#N/A</v>
      </c>
      <c r="AS49" s="31" t="e">
        <f ca="1">INDEX(Ref_Master_Unit_Table,MATCH($AK49,REF_To_Unit,0),MATCH('Reference - Lookup and Unit'!$A$11,Ref_From_Units,0))</f>
        <v>#N/A</v>
      </c>
      <c r="AT49" s="31" t="e">
        <f t="shared" ca="1" si="61"/>
        <v>#N/A</v>
      </c>
      <c r="AU49" s="31" t="e" cm="1">
        <f t="array" aca="1" ref="AU49"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49" s="31">
        <f t="shared" ca="1" si="48"/>
        <v>27.9</v>
      </c>
      <c r="AW49" s="31">
        <f t="shared" ca="1" si="49"/>
        <v>273</v>
      </c>
      <c r="AX49" s="31" t="e" cm="1">
        <f t="array" aca="1" ref="AX49"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49" s="25" t="e" cm="1">
        <f t="array" ref="AY49">_xlfn.IFS(
AND($E49&lt;&gt;"",$G49="Custom Fuel"),("Settings_Custom_Fuels"),
AND($E49&lt;&gt;"",$G49="Custom vehicle"),("Settings_Custom_Vehicle"),
AND($E49&lt;&gt;"",$G49="Fuel Use"),("Ref_DD_vehicle_FuelUse"&amp;"_"&amp;C49&amp;"_"&amp;E49),
AND($E49&lt;&gt;"",$G49="Fuel Use and Vehicle Distance"),("Ref_DD_Fuel_VehicleDistance"&amp;"_"&amp;C49&amp;"_"&amp;E49),
AND($E49&lt;&gt;"",$G49="Vehicle Distance (e.g. Road Transport)"),("Ref_DD_vehicle_VehicleDistance"&amp;"_"&amp;C49&amp;"_"&amp;E49),
AND($E49&lt;&gt;"",$G49="Weight Distance (e.g. Freight Transport)"),("Ref_DD_vehicle_WeightDistance"&amp;"_"&amp;C49&amp;"_"&amp;E49),
AND($E49&lt;&gt;"",$G49="Vehicle Distance (e.g. Public or Freight Transport)"),("Ref_DD_vehicle_DistanceS3"&amp;"_"&amp;C49),
AND($E49&lt;&gt;"",$G49="Passenger Distance (e.g. Public Transport)"),("Ref_DD_vehicle_Passenger"&amp;"_"&amp;C49&amp;"_"&amp;E49),
AND($E49="",$G49="Fuel Use"),("Ref_DD_vehicle_FuelUse"&amp;"_"&amp;C49),
AND($E49="",OR($G49="Vehicle Distance (e.g. Road Transport)",$G49="Fuel Use and Vehicle Distance")),("Ref_DD_vehicle_VehicleDistance"&amp;"_"&amp;C49),
AND($E49="",$G49="Weight Distance (e.g. Freight Transport)"),("Ref_DD_vehicle_WeightDistance"&amp;"_"&amp;C49),
AND($E49="",$G49="Vehicle Distance (e.g. Public or Freight Transport)"),("Ref_DD_vehicle_DistanceS3"&amp;"_"&amp;C49),
AND($E49="",$G49="Passenger Distance (e.g. Public Transport)"),("Ref_DD_vehicle_Passenger"&amp;"_"&amp;C49))</f>
        <v>#N/A</v>
      </c>
      <c r="AZ49" s="25" t="b">
        <f t="shared" ca="1" si="4"/>
        <v>0</v>
      </c>
      <c r="BA49" s="25" t="str">
        <f t="shared" si="5"/>
        <v/>
      </c>
      <c r="BB49" s="25" t="str">
        <f t="shared" si="6"/>
        <v/>
      </c>
      <c r="BC49" s="25" t="str">
        <f t="shared" si="50"/>
        <v/>
      </c>
      <c r="BD49" s="25" t="str">
        <f t="shared" si="51"/>
        <v/>
      </c>
      <c r="BE49" s="25" t="str">
        <f t="shared" si="52"/>
        <v/>
      </c>
      <c r="BF49" s="25" t="str">
        <f t="shared" si="53"/>
        <v/>
      </c>
      <c r="BG49" s="25" t="str">
        <f t="shared" si="7"/>
        <v/>
      </c>
      <c r="BH49" s="25" t="str">
        <f t="shared" si="8"/>
        <v/>
      </c>
      <c r="BI49" s="25" t="str">
        <f t="shared" si="54"/>
        <v/>
      </c>
      <c r="BJ49" s="25" t="str">
        <f t="shared" si="55"/>
        <v/>
      </c>
      <c r="BK49" s="25" t="str">
        <f t="shared" si="56"/>
        <v/>
      </c>
      <c r="BL49" s="25" t="str">
        <f t="shared" si="57"/>
        <v/>
      </c>
      <c r="BM49" s="25" t="str">
        <f t="shared" si="9"/>
        <v/>
      </c>
      <c r="BN49" s="25" t="str">
        <f t="shared" ca="1" si="10"/>
        <v/>
      </c>
      <c r="BO49" s="25" t="str">
        <f t="shared" si="11"/>
        <v/>
      </c>
      <c r="BP49" s="25" t="str">
        <f t="shared" si="12"/>
        <v/>
      </c>
      <c r="BQ49" s="25" t="str">
        <f t="shared" si="13"/>
        <v/>
      </c>
      <c r="BR49" s="25" t="str">
        <f t="shared" si="14"/>
        <v/>
      </c>
      <c r="BS49" s="25" t="str">
        <f t="shared" si="15"/>
        <v/>
      </c>
      <c r="BT49" s="25" t="str">
        <f t="shared" si="16"/>
        <v/>
      </c>
      <c r="BU49" s="25" t="str">
        <f t="shared" si="17"/>
        <v/>
      </c>
      <c r="BV49" s="25" t="str">
        <f t="shared" si="18"/>
        <v/>
      </c>
      <c r="BW49" s="25" t="str">
        <f t="shared" si="19"/>
        <v/>
      </c>
      <c r="BX49" s="25" t="str">
        <f t="shared" si="20"/>
        <v/>
      </c>
      <c r="BY49" s="25" t="str">
        <f t="shared" si="21"/>
        <v/>
      </c>
      <c r="BZ49" s="25" t="str">
        <f t="shared" si="22"/>
        <v/>
      </c>
      <c r="CA49" s="25" t="str">
        <f t="shared" si="23"/>
        <v/>
      </c>
      <c r="CB49" s="25" t="str">
        <f t="shared" si="24"/>
        <v/>
      </c>
      <c r="CC49" s="25" t="str">
        <f t="shared" si="25"/>
        <v/>
      </c>
      <c r="CD49" s="25" t="str">
        <f t="shared" si="26"/>
        <v/>
      </c>
      <c r="CE49" s="25" t="str">
        <f t="shared" si="27"/>
        <v/>
      </c>
      <c r="CF49" s="25" t="str">
        <f t="shared" si="28"/>
        <v/>
      </c>
      <c r="CG49" s="25" t="str">
        <f t="shared" si="29"/>
        <v/>
      </c>
      <c r="CH49" s="25" t="str">
        <f t="shared" si="30"/>
        <v/>
      </c>
      <c r="CI49" s="25" t="str">
        <f t="shared" si="31"/>
        <v/>
      </c>
      <c r="CJ49" s="25" t="str">
        <f t="shared" si="32"/>
        <v/>
      </c>
      <c r="CK49" s="25" t="str">
        <f t="shared" si="33"/>
        <v/>
      </c>
      <c r="CL49" s="25" t="str">
        <f t="shared" si="34"/>
        <v/>
      </c>
      <c r="CM49" s="25" t="str">
        <f t="shared" si="35"/>
        <v/>
      </c>
      <c r="CN49" s="25" t="str">
        <f t="shared" si="36"/>
        <v/>
      </c>
      <c r="CO49" s="25" t="str">
        <f t="shared" si="37"/>
        <v/>
      </c>
      <c r="CP49" s="25" t="str">
        <f t="shared" si="38"/>
        <v/>
      </c>
      <c r="CQ49" s="25" t="str">
        <f t="shared" si="39"/>
        <v/>
      </c>
      <c r="CR49" s="25" t="str">
        <f t="shared" si="40"/>
        <v/>
      </c>
      <c r="CS49" s="25" t="str">
        <f t="shared" si="41"/>
        <v/>
      </c>
      <c r="CT49" s="25" t="str">
        <f t="shared" si="42"/>
        <v/>
      </c>
      <c r="CU49" s="25" t="str">
        <f t="shared" si="43"/>
        <v/>
      </c>
      <c r="CV49" s="25" t="str">
        <f t="shared" si="44"/>
        <v/>
      </c>
      <c r="CW49" s="25" t="str">
        <f t="shared" si="45"/>
        <v/>
      </c>
      <c r="CX49" s="25" t="str" cm="1">
        <f t="array" ref="CX49">_xlfn.IFNA(_xlfn.IFS(
$G49="Weight Distance (e.g. Freight Transport)","Ref_DD_WeightDistanceUnits",
$G49="Passenger Distance (e.g. Public Transport)","Ref_DD_PasengerDistanceUnits",
$G49="Vehicle Distance (e.g. Road Transport)", "Ref_DD_DistanceUnit",
$G49="Vehicle Distance (e.g. Public or Freight Transport)","Ref_DD_DistanceUnit",
$G49="Fuel Use and Vehicle Distance", "Ref_DD_DistanceUnit",
$G49="Custom Vehicle",VLOOKUP($H49,'2. Settings'!$B$39:$I$54,8,FALSE)),"")</f>
        <v/>
      </c>
      <c r="CY49" s="27" t="str">
        <f ca="1">IF(AND(ISERROR(#REF!*$AU49)=TRUE,ISERROR((S49/1000)*$AV49)=TRUE,ISERROR((T49/1000)*$AW49)=FALSE),((T49/1000)*$AW49),"")</f>
        <v/>
      </c>
      <c r="CZ49" s="27" cm="1">
        <f t="array" ref="CZ49">IFERROR(_xlfn.IFS(
AND($G49="Custom vehicle",OR($J49="Passenger Mile",$J49="Passenger Kilometer")),"Passenger Distance (e.g. Public Transport)",
AND($G49="Custom vehicle",OR($J49="Tonne Mile",$J49="Tonne Kilometer",$J49="Short Ton Kilometer",$J49="Short Ton Mile")),"Weight Distance (e.g. Freight Transport)",
AND($G49="Custom vehicle",OR($J49="Mile",$J49="Kilometer")),"Vehicle Distance (e.g. Road Transport)",
$G49&lt;&gt;"Custom vehicle",$G49),"")</f>
        <v>0</v>
      </c>
      <c r="DA49" s="27" t="str" cm="1">
        <f t="array" ref="DA49">IFERROR(_xlfn.IFS(OR(J49="Tonne Kilometer",J49="Tonne Mile",J49="Short Ton Mile",J49="Short Ton Kilometer"),I49*K49,OR(J49="Passenger Kilometer",J49="Passenger Mile"),I49*L49,OR(J49="Kilometer",J49="Mile"),$I49),"")</f>
        <v/>
      </c>
    </row>
    <row r="50" spans="2:105" x14ac:dyDescent="0.25">
      <c r="B50" s="244"/>
      <c r="C50" s="71" t="str" cm="1">
        <f t="array" ref="C50">IFERROR(_xlfn.IFS($D50="Other", D50&amp;"_" &amp;Ref_Other_to,OR($D50="UK", $D50="US"),$D50),"")</f>
        <v/>
      </c>
      <c r="D50" s="71"/>
      <c r="E50" s="71"/>
      <c r="F50" s="71"/>
      <c r="G50" s="72"/>
      <c r="H50" s="72"/>
      <c r="I50" s="73"/>
      <c r="J50" s="73"/>
      <c r="K50" s="73"/>
      <c r="L50" s="73"/>
      <c r="M50" s="74"/>
      <c r="N50" s="75"/>
      <c r="O50" s="71"/>
      <c r="P50" s="165" t="str">
        <f t="shared" si="58"/>
        <v/>
      </c>
      <c r="Q50" s="166" t="str">
        <f t="shared" si="46"/>
        <v/>
      </c>
      <c r="R50" s="76" t="str" cm="1">
        <f t="array" aca="1" ref="R50" ca="1">IFERROR(_xlfn.IFS(
AND(AA50&gt;0, OR($G50="Fuel Use",$G50="Custom Fuel")),$N50*$AA50*$AM50*$AN50,
AND(AA50&gt;0,$CZ50="Vehicle Distance (e.g. Road Transport)"),$I50*$AA50*$AM50*$AN50,
AND(AA50&gt;0,$CZ50="Vehicle Distance (e.g. Public or Freight Transport)"),$I50*$AA50*$AM50*$AN50,
AND(AA50&gt;0,$CZ50="Fuel Use and Vehicle Distance"),$N50*$AA50*$AM50*$AN50,
AND(AA50&gt;0,$CZ50="Passenger Distance (e.g. Public Transport)"),$DA50*$AA50*$AM50*$AN50,
AND(AA50&gt;0,$CZ50="Weight Distance (e.g. Freight Transport)"),$DA50*$AA50*$AM50*$AN50),"")</f>
        <v/>
      </c>
      <c r="S50" s="77" t="str" cm="1">
        <f t="array" aca="1" ref="S50" ca="1">IFERROR(_xlfn.IFS(
AND(AG50&gt;-1, $G50="Fuel Use and Vehicle Distance"),$I50*$AG50*$AQ50*$AR50,
AND(AG50&gt;-1, $G50="Vehicle Distance (e.g. Road Transport)"),$I50*$AG50*$AQ50*$AR50,
AND(AG50&gt;-1, $CZ50="Vehicle Distance (e.g. Public or Freight Transport)"),$I50*$AG50*$AQ50*$AR50,
AND(AG50&gt;-1, OR($G50="Fuel Use",$G50="Custom Fuel")), $N50*$AG50*$AQ50*$AR50*1000,
AND(AG50&gt;-1, $G50="Custom Vehicle"),$DA50*$AG50*$AQ50*$AR50*1000,
AND(AG50&gt;-1, AND($G50&lt;&gt;"Custom Vehicle",$CZ50="Weight Distance (e.g. Freight Transport)")),$DA50*$AG50*$AQ50*$AR50*1000,
AND(AG50&gt;-1, AND($G50&lt;&gt;"Custom Vehicle",$CZ50="Passenger Distance (e.g. Public Transport)")), $DA50*$AG50*$AQ50*$AR50*1000),"")</f>
        <v/>
      </c>
      <c r="T50" s="77" t="str" cm="1">
        <f t="array" aca="1" ref="T50" ca="1">IFERROR(_xlfn.IFS(
AND(AJ50&gt;0,$G50="Fuel Use and Vehicle Distance"),$I50*$AJ50*$AS50*$AT50,
AND(AJ50&gt;0,$G50="Vehicle Distance (e.g. Road Transport)"),$I50*$AJ50*$AS50*$AT50,
AND(AJ50&gt;0,$G50="Vehicle Distance (e.g. Public or Freight Transport)"),$I50*$AJ50*$AS50*$AT50,
AND(AJ50&gt;0,OR($G50="Fuel Use",$G50="Custom Fuel")), $N50*$AJ50*$AS50*$AT50*1000,
AND(AJ50&gt;0,$G50="Custom Vehicle"),$DA50*$AJ50*$AS50*$AT50*1000,
AND(AJ50&gt;0,AND($G50&lt;&gt;"Custom Vehicle",$CZ50="Weight Distance (e.g. Freight Transport)")),$DA50*$AJ50*$AS50*$AT50*1000,
AND(AJ50&gt;0,AND($G50&lt;&gt;"Custom Vehicle",$CZ50="Passenger Distance (e.g. Public Transport)")), $DA50*$AJ50*$AS50*$AT50*1000),"")</f>
        <v/>
      </c>
      <c r="U50" s="78" t="str">
        <f t="shared" ca="1" si="47"/>
        <v/>
      </c>
      <c r="V50" s="161" t="str" cm="1">
        <f t="array" aca="1" ref="V50" ca="1">IFERROR(_xlfn.IFS(
AND(AD50&gt;0,OR($CZ50="Fuel Use",$CZ50="Custom Fuel",$CZ50="Fuel Use and Vehicle Distance")),($N50*$AD50*$AO50*$AP50),
AND(AD50&gt;0,$G50="Custom Vehicle"),$DA50*$AD50*$AO50*$AP50,
AND(AD50&gt;0,$CZ50="Vehicle Distance (e.g. Public or Freight Transport)"),$I50*$AD50*$AM50*$AN50,
AND(AD50&gt;0,$CZ50="Weight Distance (e.g. Freight Transport)"),($I50*$K50*$AD50*$AO50*$AP50),
AND(AD50&gt;0,$CZ50="Passenger Distance (e.g. Public Transport)"),$I50*$L50*$AD50*$AO50*$AP50,
AND(AD50&gt;0,$CZ50="Vehicle Distance (e.g. Road Transport)"),($I50*$AD50*$AO50*$AP50)),"")</f>
        <v/>
      </c>
      <c r="W50" s="164" t="str" cm="1">
        <f t="array" aca="1" ref="W50" ca="1">IFERROR(_xlfn.IFS(AND(ISNUMBER(R50),AA50=0),AA50&amp;" "&amp;"("&amp;AB50&amp;" CO2/"&amp;AC50&amp;")",AND(ISNUMBER(R50),AA50&gt;0),ROUND(AA50,INT(3-LOG(AA50)))&amp;" "&amp;"("&amp;AB50&amp;" CO2/"&amp;AC50&amp;")"),"")</f>
        <v/>
      </c>
      <c r="X50" s="164" t="str" cm="1">
        <f t="array" aca="1" ref="X50" ca="1">IFERROR(_xlfn.IFS(AND(ISNUMBER(S50), AG50=0),AG50&amp;" "&amp;"("&amp;AH50&amp;" CH4/"&amp;AI50&amp;")",AND(ISNUMBER(S50), AG50&gt;0),ROUND(AG50,INT(3-LOG(AG50)))&amp;" "&amp;"("&amp;AH50&amp;" CH4/"&amp;AI50&amp;")"),"")</f>
        <v/>
      </c>
      <c r="Y50" s="164" t="str" cm="1">
        <f t="array" aca="1" ref="Y50" ca="1">IFERROR(_xlfn.IFS(AND(ISNUMBER(T50), AJ50=0),AJ50&amp;" "&amp;"("&amp;AK50&amp;" CH4/"&amp;AL50&amp;")",AND(ISNUMBER(T50), AJ50&gt;0),ROUND(AJ50,INT(3-LOG(AJ50)))&amp;" "&amp;"("&amp;AK50&amp;" N2O/"&amp;AL50&amp;")"),"")</f>
        <v/>
      </c>
      <c r="Z50" s="245" t="str" cm="1">
        <f t="array" aca="1" ref="Z50" ca="1">IFERROR(_xlfn.IFS(AND(ISNUMBER(V50),AD50=0),AD50&amp;" "&amp;"("&amp;AE50&amp;" CO2/"&amp;AF50&amp;")",AND(ISNUMBER(V50),AD50&gt;0),ROUND(AD50,INT(3-LOG(AD50)))&amp;" "&amp;"("&amp;AE50&amp;" CO2/"&amp;AF50&amp;")"),"")</f>
        <v/>
      </c>
      <c r="AA50" s="240" t="str" cm="1">
        <f t="array" aca="1" ref="AA50" ca="1">IFERROR(_xlfn.IFS(
OR($G50="Fuel Use",$G50="Fuel Use and Vehicle Distance"),VLOOKUP($M50,INDIRECT("Ref_EF_ByFuel"&amp;"_"&amp;$C50),3,0),
$G50="Vehicle Distance (e.g. Road Transport)",VLOOKUP($H50,INDIRECT("Ref_EF_Vehicle_Distance"&amp;"_"&amp;$C50),3,0),
$G50="Vehicle Distance (e.g. Public or Freight Transport)",VLOOKUP($H50,INDIRECT("Ref_EF_Vehicle_Distance_S3"&amp;"_"&amp;$C50),3,0),
$G50="Custom Vehicle",VLOOKUP($H50,Tbl_vehical_Settings,2,0),
$G50="Custom Fuel",VLOOKUP($M50,Tbl_Fuel_Settings,2,0),
$G50="Weight Distance (e.g. Freight Transport)",VLOOKUP($H50,INDIRECT("Ref_EF_Weight_Distance"&amp;"_"&amp;$C50),3,0),
$G50="Passenger Distance (e.g. Public Transport)",VLOOKUP($H50,INDIRECT("Ref_EF_Public_Transport"&amp;"_"&amp;$C50),3,0)),"")</f>
        <v/>
      </c>
      <c r="AB50" s="31" t="str" cm="1">
        <f t="array" aca="1" ref="AB50" ca="1">IFERROR(_xlfn.IFS(
OR($G50="Fuel Use",$G50="Fuel Use and Vehicle Distance"),VLOOKUP($M50,INDIRECT("Ref_EF_ByFuel"&amp;"_"&amp;$C50),5,0),
$G50="Vehicle Distance (e.g. Road Transport)",VLOOKUP($H50,INDIRECT("Ref_EF_Vehicle_Distance"&amp;"_"&amp;$C50),5,0),
$G50="Vehicle Distance (e.g. Public or Freight Transport)",VLOOKUP($H50,INDIRECT("Ref_EF_Vehicle_Distance_S3"&amp;"_"&amp;$C50),5,0),
$G50="Custom Vehicle",VLOOKUP($H50,Tbl_vehical_Settings,6,0),
$G50="Custom Fuel",VLOOKUP($M50,Tbl_Fuel_Settings,6,0),
$G50="Weight Distance (e.g. Freight Transport)",VLOOKUP($H50,INDIRECT("Ref_EF_Weight_Distance"&amp;"_"&amp;$C50),5,0),
$G50="Passenger Distance (e.g. Public Transport)",VLOOKUP($H50,INDIRECT("Ref_EF_Public_Transport"&amp;"_"&amp;$C50),5,0)),"")</f>
        <v/>
      </c>
      <c r="AC50" s="31" t="str" cm="1">
        <f t="array" aca="1" ref="AC50" ca="1">IFERROR(_xlfn.IFS(
OR($G50="Fuel Use",$G50="Fuel Use and Vehicle Distance"),VLOOKUP($M50,INDIRECT("Ref_EF_ByFuel"&amp;"_"&amp;$C50),6,0),
$G50="Vehicle Distance (e.g. Road Transport)",VLOOKUP($H50,INDIRECT("Ref_EF_Vehicle_Distance"&amp;"_"&amp;$C50),6,0),
$G50="Vehicle Distance (e.g. Public or Freight Transport)",VLOOKUP($H50,INDIRECT("Ref_EF_Vehicle_Distance_S3"&amp;"_"&amp;$C50),6,0),
$G50="Custom Vehicle",VLOOKUP($H50,Tbl_vehical_Settings,7,0),
$G50="Custom Fuel",VLOOKUP($M50,Tbl_Fuel_Settings,7,0),
$G50="Weight Distance (e.g. Freight Transport)",VLOOKUP($H50,INDIRECT("Ref_EF_Weight_Distance"&amp;"_"&amp;$C50),6,0),
$G50="Passenger Distance (e.g. Public Transport)",VLOOKUP($H50,INDIRECT("Ref_EF_Public_Transport"&amp;"_"&amp;$C50),6,0)),"")</f>
        <v/>
      </c>
      <c r="AD50" s="31" t="str" cm="1">
        <f t="array" aca="1" ref="AD50" ca="1">IFERROR(_xlfn.IFS(
OR($G50="Fuel Use",$G50="Fuel Use and Vehicle Distance"),VLOOKUP($M50,INDIRECT("Ref_EF_ByFuel"&amp;"_"&amp;$C50),4,0),
$G50="Vehicle Distance (e.g. Road Transport)",VLOOKUP($H50,INDIRECT("Ref_EF_Vehicle_Distance"&amp;"_"&amp;$C50),4,0),
$G50="Vehicle Distance (e.g. Public or Freight Transport)",VLOOKUP($H50,INDIRECT("Ref_EF_Vehicle_Distance_S3"&amp;"_"&amp;$C50),4,0),
$G50="Custom Vehicle",VLOOKUP($H50,Tbl_vehical_Settings,5,0),
$G50="Custom Fuel",VLOOKUP($M50,Tbl_Fuel_Settings,5,0),
$G50="Weight Distance (e.g. Freight Transport)",VLOOKUP($H50,INDIRECT("Ref_EF_Weight_Distance"&amp;"_"&amp;$C50),4,0),
$G50="Passenger Distance (e.g. Public Transport)",VLOOKUP($H50,INDIRECT("Ref_EF_Public_Transport"&amp;"_"&amp;$C50),4,0)),"")</f>
        <v/>
      </c>
      <c r="AE50" s="31" t="str" cm="1">
        <f t="array" aca="1" ref="AE50" ca="1">IFERROR(_xlfn.IFS(
OR($G50="Fuel Use",$G50="Fuel Use and Vehicle Distance"),VLOOKUP($M50,INDIRECT("Ref_EF_ByFuel"&amp;"_"&amp;$C50),5,0),
$G50="Vehicle Distance (e.g. Road Transport)",VLOOKUP($H50,INDIRECT("Ref_EF_Vehicle_Distance"&amp;"_"&amp;$C50),5,0),
$G50="Vehicle Distance (e.g. Public or Freight Transport)",VLOOKUP($H50,INDIRECT("Ref_EF_Vehicle_Distance_S3"&amp;"_"&amp;$C50),5,0),
$G50="Custom Vehicle",VLOOKUP($H50,Tbl_vehical_Settings,6,0),
$G50="Custom Fuel",VLOOKUP($M50,Tbl_Fuel_Settings,6,0),
$G50="Weight Distance (e.g. Freight Transport)",VLOOKUP($H50,INDIRECT("Ref_EF_Weight_Distance"&amp;"_"&amp;$C50),5,0),
$G50="Passenger Distance (e.g. Public Transport)",VLOOKUP($H50,INDIRECT("Ref_EF_Public_Transport"&amp;"_"&amp;$C50),5,0)),"")</f>
        <v/>
      </c>
      <c r="AF50" s="31" t="str" cm="1">
        <f t="array" aca="1" ref="AF50" ca="1">IFERROR(_xlfn.IFS(
OR($G50="Fuel Use",$G50="Fuel Use and Vehicle Distance"),VLOOKUP($M50,INDIRECT("Ref_EF_ByFuel"&amp;"_"&amp;$C50),6,0),
$G50="Vehicle Distance (e.g. Road Transport)",VLOOKUP($H50,INDIRECT("Ref_EF_Vehicle_Distance"&amp;"_"&amp;$C50),6,0),
$G50="Vehicle Distance (e.g. Public or Freight Transport)",VLOOKUP($H50,INDIRECT("Ref_EF_Vehicle_Distance_S3"&amp;"_"&amp;$C50),6,0),
$G50="Custom Vehicle",VLOOKUP($H50,Tbl_vehical_Settings,7,0),
$G50="Custom Fuel",VLOOKUP($M50,Tbl_Fuel_Settings,7,0),
$G50="Weight Distance (e.g. Freight Transport)",VLOOKUP($H50,INDIRECT("Ref_EF_Weight_Distance"&amp;"_"&amp;$C50),6,0),
$G50="Passenger Distance (e.g. Public Transport)",VLOOKUP($H50,INDIRECT("Ref_EF_Public_Transport"&amp;"_"&amp;$C50),6,0)),"")</f>
        <v/>
      </c>
      <c r="AG50" s="31" t="str" cm="1">
        <f t="array" aca="1" ref="AG50" ca="1">IFERROR(_xlfn.IFS(
AND($G50="Fuel Use",$E50&lt;&gt;"Road"),VLOOKUP($H50,INDIRECT("Ref_EF_ByFuel_CH4"&amp;"_"&amp;$C50),3,0),
$G50="Vehicle Distance (e.g. Road Transport)",VLOOKUP($H50,INDIRECT("Ref_EF_Vehicle_Distance"&amp;"_"&amp;$C50),7,0),
$G50="Vehicle Distance (e.g. Public or Freight Transport)",VLOOKUP($H50,INDIRECT("Ref_EF_Vehicle_Distance_S3"&amp;"_"&amp;$C50),7,0),
$G50="Fuel Use and Vehicle Distance",VLOOKUP($H50,INDIRECT("Ref_EF_Fuel_Vehicle_Distance"&amp;"_"&amp;$C50),3,0),
$G50="Custom Vehicle",VLOOKUP($H50,Tbl_vehical_Settings,3,0),
$G50="Custom Fuel",VLOOKUP($M50,Tbl_Fuel_Settings,3,0),
$G50="Weight Distance (e.g. Freight Transport)",VLOOKUP($H50,INDIRECT("Ref_EF_Weight_Distance_CH4"&amp;"_"&amp;$C50),3,0),
$G50="Passenger Distance (e.g. Public Transport)",VLOOKUP($H50,INDIRECT("Ref_EF_Public_Transport_CH4"&amp;"_"&amp;$C50),7,0)),"")</f>
        <v/>
      </c>
      <c r="AH50" s="31" t="str" cm="1">
        <f t="array" aca="1" ref="AH50" ca="1">IFERROR(_xlfn.IFS(
AND($G50="Fuel Use",$E50&lt;&gt;"Road"),VLOOKUP($H50,INDIRECT("Ref_EF_ByFuel_CH4"&amp;"_"&amp;$C50),4,0),
$G50="Vehicle Distance (e.g. Road Transport)",VLOOKUP($H50,INDIRECT("Ref_EF_Vehicle_Distance"&amp;"_"&amp;$C50),8,0),
$G50="Vehicle Distance (e.g. Public or Freight Transport)",VLOOKUP($H50,INDIRECT("Ref_EF_Vehicle_Distance_S3"&amp;"_"&amp;$C50),8,0),
$G50="Fuel Use and Vehicle Distance",VLOOKUP($H50,INDIRECT("Ref_EF_Fuel_Vehicle_Distance"&amp;"_"&amp;$C50),4,0),
$G50="Custom Vehicle",VLOOKUP($H50,Tbl_vehical_Settings,6,0),
$G50="Custom Fuel",VLOOKUP($M50,Tbl_Fuel_Settings,6,0),
$G50="Weight Distance (e.g. Freight Transport)",VLOOKUP($H50,INDIRECT("Ref_EF_Weight_Distance_CH4"&amp;"_"&amp;$C50),4,0),
$G50="Passenger Distance (e.g. Public Transport)",VLOOKUP($H50,INDIRECT("Ref_EF_Public_Transport_CH4"&amp;"_"&amp;$C50),8,0)),"")</f>
        <v/>
      </c>
      <c r="AI50" s="31" t="str" cm="1">
        <f t="array" aca="1" ref="AI50" ca="1">IFERROR(_xlfn.IFS(
AND($G50="Fuel Use",$E50&lt;&gt;"Road"),VLOOKUP($H50,INDIRECT("Ref_EF_ByFuel_CH4"&amp;"_"&amp;$C50),5,0),
$G50="Vehicle Distance (e.g. Road Transport)",VLOOKUP($H50,INDIRECT("Ref_EF_Vehicle_Distance"&amp;"_"&amp;$C50),9,0),
$G50="Vehicle Distance (e.g. Public or Freight Transport)",VLOOKUP($H50,INDIRECT("Ref_EF_Vehicle_Distance_S3"&amp;"_"&amp;$C50),9,0),
$G50="Fuel Use and Vehicle Distance",VLOOKUP($H50,INDIRECT("Ref_EF_Fuel_Vehicle_Distance"&amp;"_"&amp;$C50),5,0),
$G50="Custom Vehicle",VLOOKUP($H50,Tbl_vehical_Settings,7,0),
$G50="Custom Fuel",VLOOKUP($M50,Tbl_Fuel_Settings,7,0),
$G50="Weight Distance (e.g. Freight Transport)",VLOOKUP($H50,INDIRECT("Ref_EF_Weight_Distance_CH4"&amp;"_"&amp;$C50),5,0),
$G50="Passenger Distance (e.g. Public Transport)",VLOOKUP($H50,INDIRECT("Ref_EF_Public_Transport_CH4"&amp;"_"&amp;$C50),9,0)),"")</f>
        <v/>
      </c>
      <c r="AJ50" s="31" t="str" cm="1">
        <f t="array" aca="1" ref="AJ50" ca="1">IFERROR(_xlfn.IFS(
AND($G50="Fuel Use",$E50&lt;&gt;"Road"),VLOOKUP($H50,INDIRECT("Ref_EF_ByFuel_CH4"&amp;"_"&amp;$C50),6,0),
$G50="Vehicle Distance (e.g. Road Transport)",VLOOKUP($H50,INDIRECT("Ref_EF_Vehicle_Distance"&amp;"_"&amp;$C50),10,0),
$G50="Vehicle Distance (e.g. Public or Freight Transport)",VLOOKUP($H50,INDIRECT("Ref_EF_Vehicle_Distance_S3"&amp;"_"&amp;$C50),10,0),
$G50="Fuel Use and Vehicle Distance",VLOOKUP($H50,INDIRECT("Ref_EF_Fuel_Vehicle_Distance"&amp;"_"&amp;$C50),6,0),
$G50="Custom Vehicle",VLOOKUP($H50,Tbl_vehical_Settings,4,0),
$G50="Custom Fuel",VLOOKUP($M50,Tbl_Fuel_Settings,4,0),
$G50="Weight Distance (e.g. Freight Transport)",VLOOKUP($H50,INDIRECT("Ref_EF_Weight_Distance_CH4"&amp;"_"&amp;$C50),6,0),
$G50="Passenger Distance (e.g. Public Transport)",VLOOKUP($H50,INDIRECT("Ref_EF_Public_Transport_CH4"&amp;"_"&amp;$C50),10,0)),"")</f>
        <v/>
      </c>
      <c r="AK50" s="31" t="str" cm="1">
        <f t="array" aca="1" ref="AK50" ca="1">IFERROR(_xlfn.IFS(
AND($G50="Fuel Use",$E50&lt;&gt;"Road"),VLOOKUP($H50,INDIRECT("Ref_EF_ByFuel_CH4"&amp;"_"&amp;$C50),7,0),
$G50="Vehicle Distance (e.g. Road Transport)",VLOOKUP($H50,INDIRECT("Ref_EF_Vehicle_Distance"&amp;"_"&amp;$C50),11,0),
$G50="Vehicle Distance (e.g. Public or Freight Transport)",VLOOKUP($H50,INDIRECT("Ref_EF_Vehicle_Distance_S3"&amp;"_"&amp;$C50),11,0),
$G50="Fuel Use and Vehicle Distance",VLOOKUP($H50,INDIRECT("Ref_EF_Fuel_Vehicle_Distance"&amp;"_"&amp;$C50),7,0),
$G50="Custom Vehicle",VLOOKUP($H50,Tbl_vehical_Settings,6,0),
$G50="Custom Fuel",VLOOKUP($M50,Tbl_Fuel_Settings,6,0),
$G50="Weight Distance (e.g. Freight Transport)",VLOOKUP($H50,INDIRECT("Ref_EF_Weight_Distance_CH4"&amp;"_"&amp;$C50),7,0),
$G50="Passenger Distance (e.g. Public Transport)",VLOOKUP($H50,INDIRECT("Ref_EF_Public_Transport_CH4"&amp;"_"&amp;$C50),11,0)),"")</f>
        <v/>
      </c>
      <c r="AL50" s="31" t="str" cm="1">
        <f t="array" aca="1" ref="AL50" ca="1">IFERROR(_xlfn.IFS(
AND($G50="Fuel Use",$E50&lt;&gt;"Road"),VLOOKUP($H50,INDIRECT("Ref_EF_ByFuel_CH4"&amp;"_"&amp;$C50),8,0),
$G50="Vehicle Distance (e.g. Road Transport)",VLOOKUP($H50,INDIRECT("Ref_EF_Vehicle_Distance"&amp;"_"&amp;$C50),12,0),
$G50="Vehicle Distance (e.g. Public or Freight Transport)",VLOOKUP($H50,INDIRECT("Ref_EF_Vehicle_Distance_S3"&amp;"_"&amp;$C50),12,0),
$G50="Fuel Use and Vehicle Distance",VLOOKUP($H50,INDIRECT("Ref_EF_Fuel_Vehicle_Distance"&amp;"_"&amp;$C50),8,0),
$G50="Custom Vehicle",VLOOKUP($H50,Tbl_vehical_Settings,7,0),
$G50="Custom Fuel",VLOOKUP($M50,Tbl_Fuel_Settings,7,0),
$G50="Weight Distance (e.g. Freight Transport)",VLOOKUP($H50,INDIRECT("Ref_EF_Weight_Distance_CH4"&amp;"_"&amp;$C50),8,0),
$G50="Passenger Distance (e.g. Public Transport)",VLOOKUP($H50,INDIRECT("Ref_EF_Public_Transport_CH4"&amp;"_"&amp;$C50),12,0)),"")</f>
        <v/>
      </c>
      <c r="AM50" s="31" t="e">
        <f ca="1">INDEX(Ref_Master_Unit_Table,MATCH($AB50,REF_To_Unit,0),MATCH('Reference - Lookup and Unit'!$A$11,Ref_From_Units,0))</f>
        <v>#N/A</v>
      </c>
      <c r="AN50" s="31" t="e">
        <f t="shared" ca="1" si="0"/>
        <v>#N/A</v>
      </c>
      <c r="AO50" s="31" t="e">
        <f ca="1">INDEX(Ref_Master_Unit_Table,MATCH($AE50,REF_To_Unit,0),MATCH('Reference - Lookup and Unit'!$A$11,Ref_From_Units,0))</f>
        <v>#N/A</v>
      </c>
      <c r="AP50" s="31" t="e">
        <f t="shared" ca="1" si="59"/>
        <v>#N/A</v>
      </c>
      <c r="AQ50" s="31" t="e">
        <f ca="1">INDEX(Ref_Master_Unit_Table,MATCH($AH50,REF_To_Unit,0),MATCH('Reference - Lookup and Unit'!$A$11,Ref_From_Units,0))</f>
        <v>#N/A</v>
      </c>
      <c r="AR50" s="31" t="e">
        <f t="shared" ca="1" si="60"/>
        <v>#N/A</v>
      </c>
      <c r="AS50" s="31" t="e">
        <f ca="1">INDEX(Ref_Master_Unit_Table,MATCH($AK50,REF_To_Unit,0),MATCH('Reference - Lookup and Unit'!$A$11,Ref_From_Units,0))</f>
        <v>#N/A</v>
      </c>
      <c r="AT50" s="31" t="e">
        <f t="shared" ca="1" si="61"/>
        <v>#N/A</v>
      </c>
      <c r="AU50" s="31" t="e" cm="1">
        <f t="array" aca="1" ref="AU50"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50" s="31">
        <f t="shared" ca="1" si="48"/>
        <v>27.9</v>
      </c>
      <c r="AW50" s="31">
        <f t="shared" ca="1" si="49"/>
        <v>273</v>
      </c>
      <c r="AX50" s="31" t="e" cm="1">
        <f t="array" aca="1" ref="AX50"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50" s="25" t="e" cm="1">
        <f t="array" ref="AY50">_xlfn.IFS(
AND($E50&lt;&gt;"",$G50="Custom Fuel"),("Settings_Custom_Fuels"),
AND($E50&lt;&gt;"",$G50="Custom vehicle"),("Settings_Custom_Vehicle"),
AND($E50&lt;&gt;"",$G50="Fuel Use"),("Ref_DD_vehicle_FuelUse"&amp;"_"&amp;C50&amp;"_"&amp;E50),
AND($E50&lt;&gt;"",$G50="Fuel Use and Vehicle Distance"),("Ref_DD_Fuel_VehicleDistance"&amp;"_"&amp;C50&amp;"_"&amp;E50),
AND($E50&lt;&gt;"",$G50="Vehicle Distance (e.g. Road Transport)"),("Ref_DD_vehicle_VehicleDistance"&amp;"_"&amp;C50&amp;"_"&amp;E50),
AND($E50&lt;&gt;"",$G50="Weight Distance (e.g. Freight Transport)"),("Ref_DD_vehicle_WeightDistance"&amp;"_"&amp;C50&amp;"_"&amp;E50),
AND($E50&lt;&gt;"",$G50="Vehicle Distance (e.g. Public or Freight Transport)"),("Ref_DD_vehicle_DistanceS3"&amp;"_"&amp;C50),
AND($E50&lt;&gt;"",$G50="Passenger Distance (e.g. Public Transport)"),("Ref_DD_vehicle_Passenger"&amp;"_"&amp;C50&amp;"_"&amp;E50),
AND($E50="",$G50="Fuel Use"),("Ref_DD_vehicle_FuelUse"&amp;"_"&amp;C50),
AND($E50="",OR($G50="Vehicle Distance (e.g. Road Transport)",$G50="Fuel Use and Vehicle Distance")),("Ref_DD_vehicle_VehicleDistance"&amp;"_"&amp;C50),
AND($E50="",$G50="Weight Distance (e.g. Freight Transport)"),("Ref_DD_vehicle_WeightDistance"&amp;"_"&amp;C50),
AND($E50="",$G50="Vehicle Distance (e.g. Public or Freight Transport)"),("Ref_DD_vehicle_DistanceS3"&amp;"_"&amp;C50),
AND($E50="",$G50="Passenger Distance (e.g. Public Transport)"),("Ref_DD_vehicle_Passenger"&amp;"_"&amp;C50))</f>
        <v>#N/A</v>
      </c>
      <c r="AZ50" s="25" t="b">
        <f t="shared" ca="1" si="4"/>
        <v>0</v>
      </c>
      <c r="BA50" s="25" t="str">
        <f t="shared" si="5"/>
        <v/>
      </c>
      <c r="BB50" s="25" t="str">
        <f t="shared" si="6"/>
        <v/>
      </c>
      <c r="BC50" s="25" t="str">
        <f t="shared" si="50"/>
        <v/>
      </c>
      <c r="BD50" s="25" t="str">
        <f t="shared" si="51"/>
        <v/>
      </c>
      <c r="BE50" s="25" t="str">
        <f t="shared" si="52"/>
        <v/>
      </c>
      <c r="BF50" s="25" t="str">
        <f t="shared" si="53"/>
        <v/>
      </c>
      <c r="BG50" s="25" t="str">
        <f t="shared" si="7"/>
        <v/>
      </c>
      <c r="BH50" s="25" t="str">
        <f t="shared" si="8"/>
        <v/>
      </c>
      <c r="BI50" s="25" t="str">
        <f t="shared" si="54"/>
        <v/>
      </c>
      <c r="BJ50" s="25" t="str">
        <f t="shared" si="55"/>
        <v/>
      </c>
      <c r="BK50" s="25" t="str">
        <f t="shared" si="56"/>
        <v/>
      </c>
      <c r="BL50" s="25" t="str">
        <f t="shared" si="57"/>
        <v/>
      </c>
      <c r="BM50" s="25" t="str">
        <f t="shared" si="9"/>
        <v/>
      </c>
      <c r="BN50" s="25" t="str">
        <f t="shared" ca="1" si="10"/>
        <v/>
      </c>
      <c r="BO50" s="25" t="str">
        <f t="shared" si="11"/>
        <v/>
      </c>
      <c r="BP50" s="25" t="str">
        <f t="shared" si="12"/>
        <v/>
      </c>
      <c r="BQ50" s="25" t="str">
        <f t="shared" si="13"/>
        <v/>
      </c>
      <c r="BR50" s="25" t="str">
        <f t="shared" si="14"/>
        <v/>
      </c>
      <c r="BS50" s="25" t="str">
        <f t="shared" si="15"/>
        <v/>
      </c>
      <c r="BT50" s="25" t="str">
        <f t="shared" si="16"/>
        <v/>
      </c>
      <c r="BU50" s="25" t="str">
        <f t="shared" si="17"/>
        <v/>
      </c>
      <c r="BV50" s="25" t="str">
        <f t="shared" si="18"/>
        <v/>
      </c>
      <c r="BW50" s="25" t="str">
        <f t="shared" si="19"/>
        <v/>
      </c>
      <c r="BX50" s="25" t="str">
        <f t="shared" si="20"/>
        <v/>
      </c>
      <c r="BY50" s="25" t="str">
        <f t="shared" si="21"/>
        <v/>
      </c>
      <c r="BZ50" s="25" t="str">
        <f t="shared" si="22"/>
        <v/>
      </c>
      <c r="CA50" s="25" t="str">
        <f t="shared" si="23"/>
        <v/>
      </c>
      <c r="CB50" s="25" t="str">
        <f t="shared" si="24"/>
        <v/>
      </c>
      <c r="CC50" s="25" t="str">
        <f t="shared" si="25"/>
        <v/>
      </c>
      <c r="CD50" s="25" t="str">
        <f t="shared" si="26"/>
        <v/>
      </c>
      <c r="CE50" s="25" t="str">
        <f t="shared" si="27"/>
        <v/>
      </c>
      <c r="CF50" s="25" t="str">
        <f t="shared" si="28"/>
        <v/>
      </c>
      <c r="CG50" s="25" t="str">
        <f t="shared" si="29"/>
        <v/>
      </c>
      <c r="CH50" s="25" t="str">
        <f t="shared" si="30"/>
        <v/>
      </c>
      <c r="CI50" s="25" t="str">
        <f t="shared" si="31"/>
        <v/>
      </c>
      <c r="CJ50" s="25" t="str">
        <f t="shared" si="32"/>
        <v/>
      </c>
      <c r="CK50" s="25" t="str">
        <f t="shared" si="33"/>
        <v/>
      </c>
      <c r="CL50" s="25" t="str">
        <f t="shared" si="34"/>
        <v/>
      </c>
      <c r="CM50" s="25" t="str">
        <f t="shared" si="35"/>
        <v/>
      </c>
      <c r="CN50" s="25" t="str">
        <f t="shared" si="36"/>
        <v/>
      </c>
      <c r="CO50" s="25" t="str">
        <f t="shared" si="37"/>
        <v/>
      </c>
      <c r="CP50" s="25" t="str">
        <f t="shared" si="38"/>
        <v/>
      </c>
      <c r="CQ50" s="25" t="str">
        <f t="shared" si="39"/>
        <v/>
      </c>
      <c r="CR50" s="25" t="str">
        <f t="shared" si="40"/>
        <v/>
      </c>
      <c r="CS50" s="25" t="str">
        <f t="shared" si="41"/>
        <v/>
      </c>
      <c r="CT50" s="25" t="str">
        <f t="shared" si="42"/>
        <v/>
      </c>
      <c r="CU50" s="25" t="str">
        <f t="shared" si="43"/>
        <v/>
      </c>
      <c r="CV50" s="25" t="str">
        <f t="shared" si="44"/>
        <v/>
      </c>
      <c r="CW50" s="25" t="str">
        <f t="shared" si="45"/>
        <v/>
      </c>
      <c r="CX50" s="25" t="str" cm="1">
        <f t="array" ref="CX50">_xlfn.IFNA(_xlfn.IFS(
$G50="Weight Distance (e.g. Freight Transport)","Ref_DD_WeightDistanceUnits",
$G50="Passenger Distance (e.g. Public Transport)","Ref_DD_PasengerDistanceUnits",
$G50="Vehicle Distance (e.g. Road Transport)", "Ref_DD_DistanceUnit",
$G50="Vehicle Distance (e.g. Public or Freight Transport)","Ref_DD_DistanceUnit",
$G50="Fuel Use and Vehicle Distance", "Ref_DD_DistanceUnit",
$G50="Custom Vehicle",VLOOKUP($H50,'2. Settings'!$B$39:$I$54,8,FALSE)),"")</f>
        <v/>
      </c>
      <c r="CY50" s="27" t="str">
        <f ca="1">IF(AND(ISERROR(#REF!*$AU50)=TRUE,ISERROR((S50/1000)*$AV50)=TRUE,ISERROR((T50/1000)*$AW50)=FALSE),((T50/1000)*$AW50),"")</f>
        <v/>
      </c>
      <c r="CZ50" s="27" cm="1">
        <f t="array" ref="CZ50">IFERROR(_xlfn.IFS(
AND($G50="Custom vehicle",OR($J50="Passenger Mile",$J50="Passenger Kilometer")),"Passenger Distance (e.g. Public Transport)",
AND($G50="Custom vehicle",OR($J50="Tonne Mile",$J50="Tonne Kilometer",$J50="Short Ton Kilometer",$J50="Short Ton Mile")),"Weight Distance (e.g. Freight Transport)",
AND($G50="Custom vehicle",OR($J50="Mile",$J50="Kilometer")),"Vehicle Distance (e.g. Road Transport)",
$G50&lt;&gt;"Custom vehicle",$G50),"")</f>
        <v>0</v>
      </c>
      <c r="DA50" s="27" t="str" cm="1">
        <f t="array" ref="DA50">IFERROR(_xlfn.IFS(OR(J50="Tonne Kilometer",J50="Tonne Mile",J50="Short Ton Mile",J50="Short Ton Kilometer"),I50*K50,OR(J50="Passenger Kilometer",J50="Passenger Mile"),I50*L50,OR(J50="Kilometer",J50="Mile"),$I50),"")</f>
        <v/>
      </c>
    </row>
    <row r="51" spans="2:105" x14ac:dyDescent="0.25">
      <c r="B51" s="244"/>
      <c r="C51" s="71" t="str" cm="1">
        <f t="array" ref="C51">IFERROR(_xlfn.IFS($D51="Other", D51&amp;"_" &amp;Ref_Other_to,OR($D51="UK", $D51="US"),$D51),"")</f>
        <v/>
      </c>
      <c r="D51" s="71"/>
      <c r="E51" s="71"/>
      <c r="F51" s="71"/>
      <c r="G51" s="72"/>
      <c r="H51" s="72"/>
      <c r="I51" s="73"/>
      <c r="J51" s="73"/>
      <c r="K51" s="73"/>
      <c r="L51" s="73"/>
      <c r="M51" s="74"/>
      <c r="N51" s="75"/>
      <c r="O51" s="71"/>
      <c r="P51" s="165" t="str">
        <f t="shared" si="58"/>
        <v/>
      </c>
      <c r="Q51" s="166" t="str">
        <f t="shared" si="46"/>
        <v/>
      </c>
      <c r="R51" s="76" t="str" cm="1">
        <f t="array" aca="1" ref="R51" ca="1">IFERROR(_xlfn.IFS(
AND(AA51&gt;0, OR($G51="Fuel Use",$G51="Custom Fuel")),$N51*$AA51*$AM51*$AN51,
AND(AA51&gt;0,$CZ51="Vehicle Distance (e.g. Road Transport)"),$I51*$AA51*$AM51*$AN51,
AND(AA51&gt;0,$CZ51="Vehicle Distance (e.g. Public or Freight Transport)"),$I51*$AA51*$AM51*$AN51,
AND(AA51&gt;0,$CZ51="Fuel Use and Vehicle Distance"),$N51*$AA51*$AM51*$AN51,
AND(AA51&gt;0,$CZ51="Passenger Distance (e.g. Public Transport)"),$DA51*$AA51*$AM51*$AN51,
AND(AA51&gt;0,$CZ51="Weight Distance (e.g. Freight Transport)"),$DA51*$AA51*$AM51*$AN51),"")</f>
        <v/>
      </c>
      <c r="S51" s="77" t="str" cm="1">
        <f t="array" aca="1" ref="S51" ca="1">IFERROR(_xlfn.IFS(
AND(AG51&gt;-1, $G51="Fuel Use and Vehicle Distance"),$I51*$AG51*$AQ51*$AR51,
AND(AG51&gt;-1, $G51="Vehicle Distance (e.g. Road Transport)"),$I51*$AG51*$AQ51*$AR51,
AND(AG51&gt;-1, $CZ51="Vehicle Distance (e.g. Public or Freight Transport)"),$I51*$AG51*$AQ51*$AR51,
AND(AG51&gt;-1, OR($G51="Fuel Use",$G51="Custom Fuel")), $N51*$AG51*$AQ51*$AR51*1000,
AND(AG51&gt;-1, $G51="Custom Vehicle"),$DA51*$AG51*$AQ51*$AR51*1000,
AND(AG51&gt;-1, AND($G51&lt;&gt;"Custom Vehicle",$CZ51="Weight Distance (e.g. Freight Transport)")),$DA51*$AG51*$AQ51*$AR51*1000,
AND(AG51&gt;-1, AND($G51&lt;&gt;"Custom Vehicle",$CZ51="Passenger Distance (e.g. Public Transport)")), $DA51*$AG51*$AQ51*$AR51*1000),"")</f>
        <v/>
      </c>
      <c r="T51" s="77" t="str" cm="1">
        <f t="array" aca="1" ref="T51" ca="1">IFERROR(_xlfn.IFS(
AND(AJ51&gt;0,$G51="Fuel Use and Vehicle Distance"),$I51*$AJ51*$AS51*$AT51,
AND(AJ51&gt;0,$G51="Vehicle Distance (e.g. Road Transport)"),$I51*$AJ51*$AS51*$AT51,
AND(AJ51&gt;0,$G51="Vehicle Distance (e.g. Public or Freight Transport)"),$I51*$AJ51*$AS51*$AT51,
AND(AJ51&gt;0,OR($G51="Fuel Use",$G51="Custom Fuel")), $N51*$AJ51*$AS51*$AT51*1000,
AND(AJ51&gt;0,$G51="Custom Vehicle"),$DA51*$AJ51*$AS51*$AT51*1000,
AND(AJ51&gt;0,AND($G51&lt;&gt;"Custom Vehicle",$CZ51="Weight Distance (e.g. Freight Transport)")),$DA51*$AJ51*$AS51*$AT51*1000,
AND(AJ51&gt;0,AND($G51&lt;&gt;"Custom Vehicle",$CZ51="Passenger Distance (e.g. Public Transport)")), $DA51*$AJ51*$AS51*$AT51*1000),"")</f>
        <v/>
      </c>
      <c r="U51" s="78" t="str">
        <f t="shared" ca="1" si="47"/>
        <v/>
      </c>
      <c r="V51" s="161" t="str" cm="1">
        <f t="array" aca="1" ref="V51" ca="1">IFERROR(_xlfn.IFS(
AND(AD51&gt;0,OR($CZ51="Fuel Use",$CZ51="Custom Fuel",$CZ51="Fuel Use and Vehicle Distance")),($N51*$AD51*$AO51*$AP51),
AND(AD51&gt;0,$G51="Custom Vehicle"),$DA51*$AD51*$AO51*$AP51,
AND(AD51&gt;0,$CZ51="Vehicle Distance (e.g. Public or Freight Transport)"),$I51*$AD51*$AM51*$AN51,
AND(AD51&gt;0,$CZ51="Weight Distance (e.g. Freight Transport)"),($I51*$K51*$AD51*$AO51*$AP51),
AND(AD51&gt;0,$CZ51="Passenger Distance (e.g. Public Transport)"),$I51*$L51*$AD51*$AO51*$AP51,
AND(AD51&gt;0,$CZ51="Vehicle Distance (e.g. Road Transport)"),($I51*$AD51*$AO51*$AP51)),"")</f>
        <v/>
      </c>
      <c r="W51" s="164" t="str" cm="1">
        <f t="array" aca="1" ref="W51" ca="1">IFERROR(_xlfn.IFS(AND(ISNUMBER(R51),AA51=0),AA51&amp;" "&amp;"("&amp;AB51&amp;" CO2/"&amp;AC51&amp;")",AND(ISNUMBER(R51),AA51&gt;0),ROUND(AA51,INT(3-LOG(AA51)))&amp;" "&amp;"("&amp;AB51&amp;" CO2/"&amp;AC51&amp;")"),"")</f>
        <v/>
      </c>
      <c r="X51" s="164" t="str" cm="1">
        <f t="array" aca="1" ref="X51" ca="1">IFERROR(_xlfn.IFS(AND(ISNUMBER(S51), AG51=0),AG51&amp;" "&amp;"("&amp;AH51&amp;" CH4/"&amp;AI51&amp;")",AND(ISNUMBER(S51), AG51&gt;0),ROUND(AG51,INT(3-LOG(AG51)))&amp;" "&amp;"("&amp;AH51&amp;" CH4/"&amp;AI51&amp;")"),"")</f>
        <v/>
      </c>
      <c r="Y51" s="164" t="str" cm="1">
        <f t="array" aca="1" ref="Y51" ca="1">IFERROR(_xlfn.IFS(AND(ISNUMBER(T51), AJ51=0),AJ51&amp;" "&amp;"("&amp;AK51&amp;" CH4/"&amp;AL51&amp;")",AND(ISNUMBER(T51), AJ51&gt;0),ROUND(AJ51,INT(3-LOG(AJ51)))&amp;" "&amp;"("&amp;AK51&amp;" N2O/"&amp;AL51&amp;")"),"")</f>
        <v/>
      </c>
      <c r="Z51" s="245" t="str" cm="1">
        <f t="array" aca="1" ref="Z51" ca="1">IFERROR(_xlfn.IFS(AND(ISNUMBER(V51),AD51=0),AD51&amp;" "&amp;"("&amp;AE51&amp;" CO2/"&amp;AF51&amp;")",AND(ISNUMBER(V51),AD51&gt;0),ROUND(AD51,INT(3-LOG(AD51)))&amp;" "&amp;"("&amp;AE51&amp;" CO2/"&amp;AF51&amp;")"),"")</f>
        <v/>
      </c>
      <c r="AA51" s="240" t="str" cm="1">
        <f t="array" aca="1" ref="AA51" ca="1">IFERROR(_xlfn.IFS(
OR($G51="Fuel Use",$G51="Fuel Use and Vehicle Distance"),VLOOKUP($M51,INDIRECT("Ref_EF_ByFuel"&amp;"_"&amp;$C51),3,0),
$G51="Vehicle Distance (e.g. Road Transport)",VLOOKUP($H51,INDIRECT("Ref_EF_Vehicle_Distance"&amp;"_"&amp;$C51),3,0),
$G51="Vehicle Distance (e.g. Public or Freight Transport)",VLOOKUP($H51,INDIRECT("Ref_EF_Vehicle_Distance_S3"&amp;"_"&amp;$C51),3,0),
$G51="Custom Vehicle",VLOOKUP($H51,Tbl_vehical_Settings,2,0),
$G51="Custom Fuel",VLOOKUP($M51,Tbl_Fuel_Settings,2,0),
$G51="Weight Distance (e.g. Freight Transport)",VLOOKUP($H51,INDIRECT("Ref_EF_Weight_Distance"&amp;"_"&amp;$C51),3,0),
$G51="Passenger Distance (e.g. Public Transport)",VLOOKUP($H51,INDIRECT("Ref_EF_Public_Transport"&amp;"_"&amp;$C51),3,0)),"")</f>
        <v/>
      </c>
      <c r="AB51" s="31" t="str" cm="1">
        <f t="array" aca="1" ref="AB51" ca="1">IFERROR(_xlfn.IFS(
OR($G51="Fuel Use",$G51="Fuel Use and Vehicle Distance"),VLOOKUP($M51,INDIRECT("Ref_EF_ByFuel"&amp;"_"&amp;$C51),5,0),
$G51="Vehicle Distance (e.g. Road Transport)",VLOOKUP($H51,INDIRECT("Ref_EF_Vehicle_Distance"&amp;"_"&amp;$C51),5,0),
$G51="Vehicle Distance (e.g. Public or Freight Transport)",VLOOKUP($H51,INDIRECT("Ref_EF_Vehicle_Distance_S3"&amp;"_"&amp;$C51),5,0),
$G51="Custom Vehicle",VLOOKUP($H51,Tbl_vehical_Settings,6,0),
$G51="Custom Fuel",VLOOKUP($M51,Tbl_Fuel_Settings,6,0),
$G51="Weight Distance (e.g. Freight Transport)",VLOOKUP($H51,INDIRECT("Ref_EF_Weight_Distance"&amp;"_"&amp;$C51),5,0),
$G51="Passenger Distance (e.g. Public Transport)",VLOOKUP($H51,INDIRECT("Ref_EF_Public_Transport"&amp;"_"&amp;$C51),5,0)),"")</f>
        <v/>
      </c>
      <c r="AC51" s="31" t="str" cm="1">
        <f t="array" aca="1" ref="AC51" ca="1">IFERROR(_xlfn.IFS(
OR($G51="Fuel Use",$G51="Fuel Use and Vehicle Distance"),VLOOKUP($M51,INDIRECT("Ref_EF_ByFuel"&amp;"_"&amp;$C51),6,0),
$G51="Vehicle Distance (e.g. Road Transport)",VLOOKUP($H51,INDIRECT("Ref_EF_Vehicle_Distance"&amp;"_"&amp;$C51),6,0),
$G51="Vehicle Distance (e.g. Public or Freight Transport)",VLOOKUP($H51,INDIRECT("Ref_EF_Vehicle_Distance_S3"&amp;"_"&amp;$C51),6,0),
$G51="Custom Vehicle",VLOOKUP($H51,Tbl_vehical_Settings,7,0),
$G51="Custom Fuel",VLOOKUP($M51,Tbl_Fuel_Settings,7,0),
$G51="Weight Distance (e.g. Freight Transport)",VLOOKUP($H51,INDIRECT("Ref_EF_Weight_Distance"&amp;"_"&amp;$C51),6,0),
$G51="Passenger Distance (e.g. Public Transport)",VLOOKUP($H51,INDIRECT("Ref_EF_Public_Transport"&amp;"_"&amp;$C51),6,0)),"")</f>
        <v/>
      </c>
      <c r="AD51" s="31" t="str" cm="1">
        <f t="array" aca="1" ref="AD51" ca="1">IFERROR(_xlfn.IFS(
OR($G51="Fuel Use",$G51="Fuel Use and Vehicle Distance"),VLOOKUP($M51,INDIRECT("Ref_EF_ByFuel"&amp;"_"&amp;$C51),4,0),
$G51="Vehicle Distance (e.g. Road Transport)",VLOOKUP($H51,INDIRECT("Ref_EF_Vehicle_Distance"&amp;"_"&amp;$C51),4,0),
$G51="Vehicle Distance (e.g. Public or Freight Transport)",VLOOKUP($H51,INDIRECT("Ref_EF_Vehicle_Distance_S3"&amp;"_"&amp;$C51),4,0),
$G51="Custom Vehicle",VLOOKUP($H51,Tbl_vehical_Settings,5,0),
$G51="Custom Fuel",VLOOKUP($M51,Tbl_Fuel_Settings,5,0),
$G51="Weight Distance (e.g. Freight Transport)",VLOOKUP($H51,INDIRECT("Ref_EF_Weight_Distance"&amp;"_"&amp;$C51),4,0),
$G51="Passenger Distance (e.g. Public Transport)",VLOOKUP($H51,INDIRECT("Ref_EF_Public_Transport"&amp;"_"&amp;$C51),4,0)),"")</f>
        <v/>
      </c>
      <c r="AE51" s="31" t="str" cm="1">
        <f t="array" aca="1" ref="AE51" ca="1">IFERROR(_xlfn.IFS(
OR($G51="Fuel Use",$G51="Fuel Use and Vehicle Distance"),VLOOKUP($M51,INDIRECT("Ref_EF_ByFuel"&amp;"_"&amp;$C51),5,0),
$G51="Vehicle Distance (e.g. Road Transport)",VLOOKUP($H51,INDIRECT("Ref_EF_Vehicle_Distance"&amp;"_"&amp;$C51),5,0),
$G51="Vehicle Distance (e.g. Public or Freight Transport)",VLOOKUP($H51,INDIRECT("Ref_EF_Vehicle_Distance_S3"&amp;"_"&amp;$C51),5,0),
$G51="Custom Vehicle",VLOOKUP($H51,Tbl_vehical_Settings,6,0),
$G51="Custom Fuel",VLOOKUP($M51,Tbl_Fuel_Settings,6,0),
$G51="Weight Distance (e.g. Freight Transport)",VLOOKUP($H51,INDIRECT("Ref_EF_Weight_Distance"&amp;"_"&amp;$C51),5,0),
$G51="Passenger Distance (e.g. Public Transport)",VLOOKUP($H51,INDIRECT("Ref_EF_Public_Transport"&amp;"_"&amp;$C51),5,0)),"")</f>
        <v/>
      </c>
      <c r="AF51" s="31" t="str" cm="1">
        <f t="array" aca="1" ref="AF51" ca="1">IFERROR(_xlfn.IFS(
OR($G51="Fuel Use",$G51="Fuel Use and Vehicle Distance"),VLOOKUP($M51,INDIRECT("Ref_EF_ByFuel"&amp;"_"&amp;$C51),6,0),
$G51="Vehicle Distance (e.g. Road Transport)",VLOOKUP($H51,INDIRECT("Ref_EF_Vehicle_Distance"&amp;"_"&amp;$C51),6,0),
$G51="Vehicle Distance (e.g. Public or Freight Transport)",VLOOKUP($H51,INDIRECT("Ref_EF_Vehicle_Distance_S3"&amp;"_"&amp;$C51),6,0),
$G51="Custom Vehicle",VLOOKUP($H51,Tbl_vehical_Settings,7,0),
$G51="Custom Fuel",VLOOKUP($M51,Tbl_Fuel_Settings,7,0),
$G51="Weight Distance (e.g. Freight Transport)",VLOOKUP($H51,INDIRECT("Ref_EF_Weight_Distance"&amp;"_"&amp;$C51),6,0),
$G51="Passenger Distance (e.g. Public Transport)",VLOOKUP($H51,INDIRECT("Ref_EF_Public_Transport"&amp;"_"&amp;$C51),6,0)),"")</f>
        <v/>
      </c>
      <c r="AG51" s="31" t="str" cm="1">
        <f t="array" aca="1" ref="AG51" ca="1">IFERROR(_xlfn.IFS(
AND($G51="Fuel Use",$E51&lt;&gt;"Road"),VLOOKUP($H51,INDIRECT("Ref_EF_ByFuel_CH4"&amp;"_"&amp;$C51),3,0),
$G51="Vehicle Distance (e.g. Road Transport)",VLOOKUP($H51,INDIRECT("Ref_EF_Vehicle_Distance"&amp;"_"&amp;$C51),7,0),
$G51="Vehicle Distance (e.g. Public or Freight Transport)",VLOOKUP($H51,INDIRECT("Ref_EF_Vehicle_Distance_S3"&amp;"_"&amp;$C51),7,0),
$G51="Fuel Use and Vehicle Distance",VLOOKUP($H51,INDIRECT("Ref_EF_Fuel_Vehicle_Distance"&amp;"_"&amp;$C51),3,0),
$G51="Custom Vehicle",VLOOKUP($H51,Tbl_vehical_Settings,3,0),
$G51="Custom Fuel",VLOOKUP($M51,Tbl_Fuel_Settings,3,0),
$G51="Weight Distance (e.g. Freight Transport)",VLOOKUP($H51,INDIRECT("Ref_EF_Weight_Distance_CH4"&amp;"_"&amp;$C51),3,0),
$G51="Passenger Distance (e.g. Public Transport)",VLOOKUP($H51,INDIRECT("Ref_EF_Public_Transport_CH4"&amp;"_"&amp;$C51),7,0)),"")</f>
        <v/>
      </c>
      <c r="AH51" s="31" t="str" cm="1">
        <f t="array" aca="1" ref="AH51" ca="1">IFERROR(_xlfn.IFS(
AND($G51="Fuel Use",$E51&lt;&gt;"Road"),VLOOKUP($H51,INDIRECT("Ref_EF_ByFuel_CH4"&amp;"_"&amp;$C51),4,0),
$G51="Vehicle Distance (e.g. Road Transport)",VLOOKUP($H51,INDIRECT("Ref_EF_Vehicle_Distance"&amp;"_"&amp;$C51),8,0),
$G51="Vehicle Distance (e.g. Public or Freight Transport)",VLOOKUP($H51,INDIRECT("Ref_EF_Vehicle_Distance_S3"&amp;"_"&amp;$C51),8,0),
$G51="Fuel Use and Vehicle Distance",VLOOKUP($H51,INDIRECT("Ref_EF_Fuel_Vehicle_Distance"&amp;"_"&amp;$C51),4,0),
$G51="Custom Vehicle",VLOOKUP($H51,Tbl_vehical_Settings,6,0),
$G51="Custom Fuel",VLOOKUP($M51,Tbl_Fuel_Settings,6,0),
$G51="Weight Distance (e.g. Freight Transport)",VLOOKUP($H51,INDIRECT("Ref_EF_Weight_Distance_CH4"&amp;"_"&amp;$C51),4,0),
$G51="Passenger Distance (e.g. Public Transport)",VLOOKUP($H51,INDIRECT("Ref_EF_Public_Transport_CH4"&amp;"_"&amp;$C51),8,0)),"")</f>
        <v/>
      </c>
      <c r="AI51" s="31" t="str" cm="1">
        <f t="array" aca="1" ref="AI51" ca="1">IFERROR(_xlfn.IFS(
AND($G51="Fuel Use",$E51&lt;&gt;"Road"),VLOOKUP($H51,INDIRECT("Ref_EF_ByFuel_CH4"&amp;"_"&amp;$C51),5,0),
$G51="Vehicle Distance (e.g. Road Transport)",VLOOKUP($H51,INDIRECT("Ref_EF_Vehicle_Distance"&amp;"_"&amp;$C51),9,0),
$G51="Vehicle Distance (e.g. Public or Freight Transport)",VLOOKUP($H51,INDIRECT("Ref_EF_Vehicle_Distance_S3"&amp;"_"&amp;$C51),9,0),
$G51="Fuel Use and Vehicle Distance",VLOOKUP($H51,INDIRECT("Ref_EF_Fuel_Vehicle_Distance"&amp;"_"&amp;$C51),5,0),
$G51="Custom Vehicle",VLOOKUP($H51,Tbl_vehical_Settings,7,0),
$G51="Custom Fuel",VLOOKUP($M51,Tbl_Fuel_Settings,7,0),
$G51="Weight Distance (e.g. Freight Transport)",VLOOKUP($H51,INDIRECT("Ref_EF_Weight_Distance_CH4"&amp;"_"&amp;$C51),5,0),
$G51="Passenger Distance (e.g. Public Transport)",VLOOKUP($H51,INDIRECT("Ref_EF_Public_Transport_CH4"&amp;"_"&amp;$C51),9,0)),"")</f>
        <v/>
      </c>
      <c r="AJ51" s="31" t="str" cm="1">
        <f t="array" aca="1" ref="AJ51" ca="1">IFERROR(_xlfn.IFS(
AND($G51="Fuel Use",$E51&lt;&gt;"Road"),VLOOKUP($H51,INDIRECT("Ref_EF_ByFuel_CH4"&amp;"_"&amp;$C51),6,0),
$G51="Vehicle Distance (e.g. Road Transport)",VLOOKUP($H51,INDIRECT("Ref_EF_Vehicle_Distance"&amp;"_"&amp;$C51),10,0),
$G51="Vehicle Distance (e.g. Public or Freight Transport)",VLOOKUP($H51,INDIRECT("Ref_EF_Vehicle_Distance_S3"&amp;"_"&amp;$C51),10,0),
$G51="Fuel Use and Vehicle Distance",VLOOKUP($H51,INDIRECT("Ref_EF_Fuel_Vehicle_Distance"&amp;"_"&amp;$C51),6,0),
$G51="Custom Vehicle",VLOOKUP($H51,Tbl_vehical_Settings,4,0),
$G51="Custom Fuel",VLOOKUP($M51,Tbl_Fuel_Settings,4,0),
$G51="Weight Distance (e.g. Freight Transport)",VLOOKUP($H51,INDIRECT("Ref_EF_Weight_Distance_CH4"&amp;"_"&amp;$C51),6,0),
$G51="Passenger Distance (e.g. Public Transport)",VLOOKUP($H51,INDIRECT("Ref_EF_Public_Transport_CH4"&amp;"_"&amp;$C51),10,0)),"")</f>
        <v/>
      </c>
      <c r="AK51" s="31" t="str" cm="1">
        <f t="array" aca="1" ref="AK51" ca="1">IFERROR(_xlfn.IFS(
AND($G51="Fuel Use",$E51&lt;&gt;"Road"),VLOOKUP($H51,INDIRECT("Ref_EF_ByFuel_CH4"&amp;"_"&amp;$C51),7,0),
$G51="Vehicle Distance (e.g. Road Transport)",VLOOKUP($H51,INDIRECT("Ref_EF_Vehicle_Distance"&amp;"_"&amp;$C51),11,0),
$G51="Vehicle Distance (e.g. Public or Freight Transport)",VLOOKUP($H51,INDIRECT("Ref_EF_Vehicle_Distance_S3"&amp;"_"&amp;$C51),11,0),
$G51="Fuel Use and Vehicle Distance",VLOOKUP($H51,INDIRECT("Ref_EF_Fuel_Vehicle_Distance"&amp;"_"&amp;$C51),7,0),
$G51="Custom Vehicle",VLOOKUP($H51,Tbl_vehical_Settings,6,0),
$G51="Custom Fuel",VLOOKUP($M51,Tbl_Fuel_Settings,6,0),
$G51="Weight Distance (e.g. Freight Transport)",VLOOKUP($H51,INDIRECT("Ref_EF_Weight_Distance_CH4"&amp;"_"&amp;$C51),7,0),
$G51="Passenger Distance (e.g. Public Transport)",VLOOKUP($H51,INDIRECT("Ref_EF_Public_Transport_CH4"&amp;"_"&amp;$C51),11,0)),"")</f>
        <v/>
      </c>
      <c r="AL51" s="31" t="str" cm="1">
        <f t="array" aca="1" ref="AL51" ca="1">IFERROR(_xlfn.IFS(
AND($G51="Fuel Use",$E51&lt;&gt;"Road"),VLOOKUP($H51,INDIRECT("Ref_EF_ByFuel_CH4"&amp;"_"&amp;$C51),8,0),
$G51="Vehicle Distance (e.g. Road Transport)",VLOOKUP($H51,INDIRECT("Ref_EF_Vehicle_Distance"&amp;"_"&amp;$C51),12,0),
$G51="Vehicle Distance (e.g. Public or Freight Transport)",VLOOKUP($H51,INDIRECT("Ref_EF_Vehicle_Distance_S3"&amp;"_"&amp;$C51),12,0),
$G51="Fuel Use and Vehicle Distance",VLOOKUP($H51,INDIRECT("Ref_EF_Fuel_Vehicle_Distance"&amp;"_"&amp;$C51),8,0),
$G51="Custom Vehicle",VLOOKUP($H51,Tbl_vehical_Settings,7,0),
$G51="Custom Fuel",VLOOKUP($M51,Tbl_Fuel_Settings,7,0),
$G51="Weight Distance (e.g. Freight Transport)",VLOOKUP($H51,INDIRECT("Ref_EF_Weight_Distance_CH4"&amp;"_"&amp;$C51),8,0),
$G51="Passenger Distance (e.g. Public Transport)",VLOOKUP($H51,INDIRECT("Ref_EF_Public_Transport_CH4"&amp;"_"&amp;$C51),12,0)),"")</f>
        <v/>
      </c>
      <c r="AM51" s="31" t="e">
        <f ca="1">INDEX(Ref_Master_Unit_Table,MATCH($AB51,REF_To_Unit,0),MATCH('Reference - Lookup and Unit'!$A$11,Ref_From_Units,0))</f>
        <v>#N/A</v>
      </c>
      <c r="AN51" s="31" t="e">
        <f t="shared" ca="1" si="0"/>
        <v>#N/A</v>
      </c>
      <c r="AO51" s="31" t="e">
        <f ca="1">INDEX(Ref_Master_Unit_Table,MATCH($AE51,REF_To_Unit,0),MATCH('Reference - Lookup and Unit'!$A$11,Ref_From_Units,0))</f>
        <v>#N/A</v>
      </c>
      <c r="AP51" s="31" t="e">
        <f t="shared" ca="1" si="59"/>
        <v>#N/A</v>
      </c>
      <c r="AQ51" s="31" t="e">
        <f ca="1">INDEX(Ref_Master_Unit_Table,MATCH($AH51,REF_To_Unit,0),MATCH('Reference - Lookup and Unit'!$A$11,Ref_From_Units,0))</f>
        <v>#N/A</v>
      </c>
      <c r="AR51" s="31" t="e">
        <f t="shared" ca="1" si="60"/>
        <v>#N/A</v>
      </c>
      <c r="AS51" s="31" t="e">
        <f ca="1">INDEX(Ref_Master_Unit_Table,MATCH($AK51,REF_To_Unit,0),MATCH('Reference - Lookup and Unit'!$A$11,Ref_From_Units,0))</f>
        <v>#N/A</v>
      </c>
      <c r="AT51" s="31" t="e">
        <f t="shared" ca="1" si="61"/>
        <v>#N/A</v>
      </c>
      <c r="AU51" s="31" t="e" cm="1">
        <f t="array" aca="1" ref="AU51"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51" s="31">
        <f t="shared" ca="1" si="48"/>
        <v>27.9</v>
      </c>
      <c r="AW51" s="31">
        <f t="shared" ca="1" si="49"/>
        <v>273</v>
      </c>
      <c r="AX51" s="31" t="e" cm="1">
        <f t="array" aca="1" ref="AX51"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51" s="25" t="e" cm="1">
        <f t="array" ref="AY51">_xlfn.IFS(
AND($E51&lt;&gt;"",$G51="Custom Fuel"),("Settings_Custom_Fuels"),
AND($E51&lt;&gt;"",$G51="Custom vehicle"),("Settings_Custom_Vehicle"),
AND($E51&lt;&gt;"",$G51="Fuel Use"),("Ref_DD_vehicle_FuelUse"&amp;"_"&amp;C51&amp;"_"&amp;E51),
AND($E51&lt;&gt;"",$G51="Fuel Use and Vehicle Distance"),("Ref_DD_Fuel_VehicleDistance"&amp;"_"&amp;C51&amp;"_"&amp;E51),
AND($E51&lt;&gt;"",$G51="Vehicle Distance (e.g. Road Transport)"),("Ref_DD_vehicle_VehicleDistance"&amp;"_"&amp;C51&amp;"_"&amp;E51),
AND($E51&lt;&gt;"",$G51="Weight Distance (e.g. Freight Transport)"),("Ref_DD_vehicle_WeightDistance"&amp;"_"&amp;C51&amp;"_"&amp;E51),
AND($E51&lt;&gt;"",$G51="Vehicle Distance (e.g. Public or Freight Transport)"),("Ref_DD_vehicle_DistanceS3"&amp;"_"&amp;C51),
AND($E51&lt;&gt;"",$G51="Passenger Distance (e.g. Public Transport)"),("Ref_DD_vehicle_Passenger"&amp;"_"&amp;C51&amp;"_"&amp;E51),
AND($E51="",$G51="Fuel Use"),("Ref_DD_vehicle_FuelUse"&amp;"_"&amp;C51),
AND($E51="",OR($G51="Vehicle Distance (e.g. Road Transport)",$G51="Fuel Use and Vehicle Distance")),("Ref_DD_vehicle_VehicleDistance"&amp;"_"&amp;C51),
AND($E51="",$G51="Weight Distance (e.g. Freight Transport)"),("Ref_DD_vehicle_WeightDistance"&amp;"_"&amp;C51),
AND($E51="",$G51="Vehicle Distance (e.g. Public or Freight Transport)"),("Ref_DD_vehicle_DistanceS3"&amp;"_"&amp;C51),
AND($E51="",$G51="Passenger Distance (e.g. Public Transport)"),("Ref_DD_vehicle_Passenger"&amp;"_"&amp;C51))</f>
        <v>#N/A</v>
      </c>
      <c r="AZ51" s="25" t="b">
        <f t="shared" ca="1" si="4"/>
        <v>0</v>
      </c>
      <c r="BA51" s="25" t="str">
        <f t="shared" si="5"/>
        <v/>
      </c>
      <c r="BB51" s="25" t="str">
        <f t="shared" si="6"/>
        <v/>
      </c>
      <c r="BC51" s="25" t="str">
        <f t="shared" si="50"/>
        <v/>
      </c>
      <c r="BD51" s="25" t="str">
        <f t="shared" si="51"/>
        <v/>
      </c>
      <c r="BE51" s="25" t="str">
        <f t="shared" si="52"/>
        <v/>
      </c>
      <c r="BF51" s="25" t="str">
        <f t="shared" si="53"/>
        <v/>
      </c>
      <c r="BG51" s="25" t="str">
        <f t="shared" si="7"/>
        <v/>
      </c>
      <c r="BH51" s="25" t="str">
        <f t="shared" si="8"/>
        <v/>
      </c>
      <c r="BI51" s="25" t="str">
        <f t="shared" si="54"/>
        <v/>
      </c>
      <c r="BJ51" s="25" t="str">
        <f t="shared" si="55"/>
        <v/>
      </c>
      <c r="BK51" s="25" t="str">
        <f t="shared" si="56"/>
        <v/>
      </c>
      <c r="BL51" s="25" t="str">
        <f t="shared" si="57"/>
        <v/>
      </c>
      <c r="BM51" s="25" t="str">
        <f t="shared" si="9"/>
        <v/>
      </c>
      <c r="BN51" s="25" t="str">
        <f t="shared" ca="1" si="10"/>
        <v/>
      </c>
      <c r="BO51" s="25" t="str">
        <f t="shared" si="11"/>
        <v/>
      </c>
      <c r="BP51" s="25" t="str">
        <f t="shared" si="12"/>
        <v/>
      </c>
      <c r="BQ51" s="25" t="str">
        <f t="shared" si="13"/>
        <v/>
      </c>
      <c r="BR51" s="25" t="str">
        <f t="shared" si="14"/>
        <v/>
      </c>
      <c r="BS51" s="25" t="str">
        <f t="shared" si="15"/>
        <v/>
      </c>
      <c r="BT51" s="25" t="str">
        <f t="shared" si="16"/>
        <v/>
      </c>
      <c r="BU51" s="25" t="str">
        <f t="shared" si="17"/>
        <v/>
      </c>
      <c r="BV51" s="25" t="str">
        <f t="shared" si="18"/>
        <v/>
      </c>
      <c r="BW51" s="25" t="str">
        <f t="shared" si="19"/>
        <v/>
      </c>
      <c r="BX51" s="25" t="str">
        <f t="shared" si="20"/>
        <v/>
      </c>
      <c r="BY51" s="25" t="str">
        <f t="shared" si="21"/>
        <v/>
      </c>
      <c r="BZ51" s="25" t="str">
        <f t="shared" si="22"/>
        <v/>
      </c>
      <c r="CA51" s="25" t="str">
        <f t="shared" si="23"/>
        <v/>
      </c>
      <c r="CB51" s="25" t="str">
        <f t="shared" si="24"/>
        <v/>
      </c>
      <c r="CC51" s="25" t="str">
        <f t="shared" si="25"/>
        <v/>
      </c>
      <c r="CD51" s="25" t="str">
        <f t="shared" si="26"/>
        <v/>
      </c>
      <c r="CE51" s="25" t="str">
        <f t="shared" si="27"/>
        <v/>
      </c>
      <c r="CF51" s="25" t="str">
        <f t="shared" si="28"/>
        <v/>
      </c>
      <c r="CG51" s="25" t="str">
        <f t="shared" si="29"/>
        <v/>
      </c>
      <c r="CH51" s="25" t="str">
        <f t="shared" si="30"/>
        <v/>
      </c>
      <c r="CI51" s="25" t="str">
        <f t="shared" si="31"/>
        <v/>
      </c>
      <c r="CJ51" s="25" t="str">
        <f t="shared" si="32"/>
        <v/>
      </c>
      <c r="CK51" s="25" t="str">
        <f t="shared" si="33"/>
        <v/>
      </c>
      <c r="CL51" s="25" t="str">
        <f t="shared" si="34"/>
        <v/>
      </c>
      <c r="CM51" s="25" t="str">
        <f t="shared" si="35"/>
        <v/>
      </c>
      <c r="CN51" s="25" t="str">
        <f t="shared" si="36"/>
        <v/>
      </c>
      <c r="CO51" s="25" t="str">
        <f t="shared" si="37"/>
        <v/>
      </c>
      <c r="CP51" s="25" t="str">
        <f t="shared" si="38"/>
        <v/>
      </c>
      <c r="CQ51" s="25" t="str">
        <f t="shared" si="39"/>
        <v/>
      </c>
      <c r="CR51" s="25" t="str">
        <f t="shared" si="40"/>
        <v/>
      </c>
      <c r="CS51" s="25" t="str">
        <f t="shared" si="41"/>
        <v/>
      </c>
      <c r="CT51" s="25" t="str">
        <f t="shared" si="42"/>
        <v/>
      </c>
      <c r="CU51" s="25" t="str">
        <f t="shared" si="43"/>
        <v/>
      </c>
      <c r="CV51" s="25" t="str">
        <f t="shared" si="44"/>
        <v/>
      </c>
      <c r="CW51" s="25" t="str">
        <f t="shared" si="45"/>
        <v/>
      </c>
      <c r="CX51" s="25" t="str" cm="1">
        <f t="array" ref="CX51">_xlfn.IFNA(_xlfn.IFS(
$G51="Weight Distance (e.g. Freight Transport)","Ref_DD_WeightDistanceUnits",
$G51="Passenger Distance (e.g. Public Transport)","Ref_DD_PasengerDistanceUnits",
$G51="Vehicle Distance (e.g. Road Transport)", "Ref_DD_DistanceUnit",
$G51="Vehicle Distance (e.g. Public or Freight Transport)","Ref_DD_DistanceUnit",
$G51="Fuel Use and Vehicle Distance", "Ref_DD_DistanceUnit",
$G51="Custom Vehicle",VLOOKUP($H51,'2. Settings'!$B$39:$I$54,8,FALSE)),"")</f>
        <v/>
      </c>
      <c r="CY51" s="27" t="str">
        <f ca="1">IF(AND(ISERROR(#REF!*$AU51)=TRUE,ISERROR((S51/1000)*$AV51)=TRUE,ISERROR((T51/1000)*$AW51)=FALSE),((T51/1000)*$AW51),"")</f>
        <v/>
      </c>
      <c r="CZ51" s="27" cm="1">
        <f t="array" ref="CZ51">IFERROR(_xlfn.IFS(
AND($G51="Custom vehicle",OR($J51="Passenger Mile",$J51="Passenger Kilometer")),"Passenger Distance (e.g. Public Transport)",
AND($G51="Custom vehicle",OR($J51="Tonne Mile",$J51="Tonne Kilometer",$J51="Short Ton Kilometer",$J51="Short Ton Mile")),"Weight Distance (e.g. Freight Transport)",
AND($G51="Custom vehicle",OR($J51="Mile",$J51="Kilometer")),"Vehicle Distance (e.g. Road Transport)",
$G51&lt;&gt;"Custom vehicle",$G51),"")</f>
        <v>0</v>
      </c>
      <c r="DA51" s="27" t="str" cm="1">
        <f t="array" ref="DA51">IFERROR(_xlfn.IFS(OR(J51="Tonne Kilometer",J51="Tonne Mile",J51="Short Ton Mile",J51="Short Ton Kilometer"),I51*K51,OR(J51="Passenger Kilometer",J51="Passenger Mile"),I51*L51,OR(J51="Kilometer",J51="Mile"),$I51),"")</f>
        <v/>
      </c>
    </row>
    <row r="52" spans="2:105" x14ac:dyDescent="0.25">
      <c r="B52" s="244"/>
      <c r="C52" s="71" t="str" cm="1">
        <f t="array" ref="C52">IFERROR(_xlfn.IFS($D52="Other", D52&amp;"_" &amp;Ref_Other_to,OR($D52="UK", $D52="US"),$D52),"")</f>
        <v/>
      </c>
      <c r="D52" s="71"/>
      <c r="E52" s="71"/>
      <c r="F52" s="71"/>
      <c r="G52" s="72"/>
      <c r="H52" s="72"/>
      <c r="I52" s="73"/>
      <c r="J52" s="73"/>
      <c r="K52" s="73"/>
      <c r="L52" s="73"/>
      <c r="M52" s="74"/>
      <c r="N52" s="75"/>
      <c r="O52" s="71"/>
      <c r="P52" s="165" t="str">
        <f t="shared" si="58"/>
        <v/>
      </c>
      <c r="Q52" s="166" t="str">
        <f t="shared" si="46"/>
        <v/>
      </c>
      <c r="R52" s="76" t="str" cm="1">
        <f t="array" aca="1" ref="R52" ca="1">IFERROR(_xlfn.IFS(
AND(AA52&gt;0, OR($G52="Fuel Use",$G52="Custom Fuel")),$N52*$AA52*$AM52*$AN52,
AND(AA52&gt;0,$CZ52="Vehicle Distance (e.g. Road Transport)"),$I52*$AA52*$AM52*$AN52,
AND(AA52&gt;0,$CZ52="Vehicle Distance (e.g. Public or Freight Transport)"),$I52*$AA52*$AM52*$AN52,
AND(AA52&gt;0,$CZ52="Fuel Use and Vehicle Distance"),$N52*$AA52*$AM52*$AN52,
AND(AA52&gt;0,$CZ52="Passenger Distance (e.g. Public Transport)"),$DA52*$AA52*$AM52*$AN52,
AND(AA52&gt;0,$CZ52="Weight Distance (e.g. Freight Transport)"),$DA52*$AA52*$AM52*$AN52),"")</f>
        <v/>
      </c>
      <c r="S52" s="77" t="str" cm="1">
        <f t="array" aca="1" ref="S52" ca="1">IFERROR(_xlfn.IFS(
AND(AG52&gt;-1, $G52="Fuel Use and Vehicle Distance"),$I52*$AG52*$AQ52*$AR52,
AND(AG52&gt;-1, $G52="Vehicle Distance (e.g. Road Transport)"),$I52*$AG52*$AQ52*$AR52,
AND(AG52&gt;-1, $CZ52="Vehicle Distance (e.g. Public or Freight Transport)"),$I52*$AG52*$AQ52*$AR52,
AND(AG52&gt;-1, OR($G52="Fuel Use",$G52="Custom Fuel")), $N52*$AG52*$AQ52*$AR52*1000,
AND(AG52&gt;-1, $G52="Custom Vehicle"),$DA52*$AG52*$AQ52*$AR52*1000,
AND(AG52&gt;-1, AND($G52&lt;&gt;"Custom Vehicle",$CZ52="Weight Distance (e.g. Freight Transport)")),$DA52*$AG52*$AQ52*$AR52*1000,
AND(AG52&gt;-1, AND($G52&lt;&gt;"Custom Vehicle",$CZ52="Passenger Distance (e.g. Public Transport)")), $DA52*$AG52*$AQ52*$AR52*1000),"")</f>
        <v/>
      </c>
      <c r="T52" s="77" t="str" cm="1">
        <f t="array" aca="1" ref="T52" ca="1">IFERROR(_xlfn.IFS(
AND(AJ52&gt;0,$G52="Fuel Use and Vehicle Distance"),$I52*$AJ52*$AS52*$AT52,
AND(AJ52&gt;0,$G52="Vehicle Distance (e.g. Road Transport)"),$I52*$AJ52*$AS52*$AT52,
AND(AJ52&gt;0,$G52="Vehicle Distance (e.g. Public or Freight Transport)"),$I52*$AJ52*$AS52*$AT52,
AND(AJ52&gt;0,OR($G52="Fuel Use",$G52="Custom Fuel")), $N52*$AJ52*$AS52*$AT52*1000,
AND(AJ52&gt;0,$G52="Custom Vehicle"),$DA52*$AJ52*$AS52*$AT52*1000,
AND(AJ52&gt;0,AND($G52&lt;&gt;"Custom Vehicle",$CZ52="Weight Distance (e.g. Freight Transport)")),$DA52*$AJ52*$AS52*$AT52*1000,
AND(AJ52&gt;0,AND($G52&lt;&gt;"Custom Vehicle",$CZ52="Passenger Distance (e.g. Public Transport)")), $DA52*$AJ52*$AS52*$AT52*1000),"")</f>
        <v/>
      </c>
      <c r="U52" s="78" t="str">
        <f t="shared" ca="1" si="47"/>
        <v/>
      </c>
      <c r="V52" s="161" t="str" cm="1">
        <f t="array" aca="1" ref="V52" ca="1">IFERROR(_xlfn.IFS(
AND(AD52&gt;0,OR($CZ52="Fuel Use",$CZ52="Custom Fuel",$CZ52="Fuel Use and Vehicle Distance")),($N52*$AD52*$AO52*$AP52),
AND(AD52&gt;0,$G52="Custom Vehicle"),$DA52*$AD52*$AO52*$AP52,
AND(AD52&gt;0,$CZ52="Vehicle Distance (e.g. Public or Freight Transport)"),$I52*$AD52*$AM52*$AN52,
AND(AD52&gt;0,$CZ52="Weight Distance (e.g. Freight Transport)"),($I52*$K52*$AD52*$AO52*$AP52),
AND(AD52&gt;0,$CZ52="Passenger Distance (e.g. Public Transport)"),$I52*$L52*$AD52*$AO52*$AP52,
AND(AD52&gt;0,$CZ52="Vehicle Distance (e.g. Road Transport)"),($I52*$AD52*$AO52*$AP52)),"")</f>
        <v/>
      </c>
      <c r="W52" s="164" t="str" cm="1">
        <f t="array" aca="1" ref="W52" ca="1">IFERROR(_xlfn.IFS(AND(ISNUMBER(R52),AA52=0),AA52&amp;" "&amp;"("&amp;AB52&amp;" CO2/"&amp;AC52&amp;")",AND(ISNUMBER(R52),AA52&gt;0),ROUND(AA52,INT(3-LOG(AA52)))&amp;" "&amp;"("&amp;AB52&amp;" CO2/"&amp;AC52&amp;")"),"")</f>
        <v/>
      </c>
      <c r="X52" s="164" t="str" cm="1">
        <f t="array" aca="1" ref="X52" ca="1">IFERROR(_xlfn.IFS(AND(ISNUMBER(S52), AG52=0),AG52&amp;" "&amp;"("&amp;AH52&amp;" CH4/"&amp;AI52&amp;")",AND(ISNUMBER(S52), AG52&gt;0),ROUND(AG52,INT(3-LOG(AG52)))&amp;" "&amp;"("&amp;AH52&amp;" CH4/"&amp;AI52&amp;")"),"")</f>
        <v/>
      </c>
      <c r="Y52" s="164" t="str" cm="1">
        <f t="array" aca="1" ref="Y52" ca="1">IFERROR(_xlfn.IFS(AND(ISNUMBER(T52), AJ52=0),AJ52&amp;" "&amp;"("&amp;AK52&amp;" CH4/"&amp;AL52&amp;")",AND(ISNUMBER(T52), AJ52&gt;0),ROUND(AJ52,INT(3-LOG(AJ52)))&amp;" "&amp;"("&amp;AK52&amp;" N2O/"&amp;AL52&amp;")"),"")</f>
        <v/>
      </c>
      <c r="Z52" s="245" t="str" cm="1">
        <f t="array" aca="1" ref="Z52" ca="1">IFERROR(_xlfn.IFS(AND(ISNUMBER(V52),AD52=0),AD52&amp;" "&amp;"("&amp;AE52&amp;" CO2/"&amp;AF52&amp;")",AND(ISNUMBER(V52),AD52&gt;0),ROUND(AD52,INT(3-LOG(AD52)))&amp;" "&amp;"("&amp;AE52&amp;" CO2/"&amp;AF52&amp;")"),"")</f>
        <v/>
      </c>
      <c r="AA52" s="240" t="str" cm="1">
        <f t="array" aca="1" ref="AA52" ca="1">IFERROR(_xlfn.IFS(
OR($G52="Fuel Use",$G52="Fuel Use and Vehicle Distance"),VLOOKUP($M52,INDIRECT("Ref_EF_ByFuel"&amp;"_"&amp;$C52),3,0),
$G52="Vehicle Distance (e.g. Road Transport)",VLOOKUP($H52,INDIRECT("Ref_EF_Vehicle_Distance"&amp;"_"&amp;$C52),3,0),
$G52="Vehicle Distance (e.g. Public or Freight Transport)",VLOOKUP($H52,INDIRECT("Ref_EF_Vehicle_Distance_S3"&amp;"_"&amp;$C52),3,0),
$G52="Custom Vehicle",VLOOKUP($H52,Tbl_vehical_Settings,2,0),
$G52="Custom Fuel",VLOOKUP($M52,Tbl_Fuel_Settings,2,0),
$G52="Weight Distance (e.g. Freight Transport)",VLOOKUP($H52,INDIRECT("Ref_EF_Weight_Distance"&amp;"_"&amp;$C52),3,0),
$G52="Passenger Distance (e.g. Public Transport)",VLOOKUP($H52,INDIRECT("Ref_EF_Public_Transport"&amp;"_"&amp;$C52),3,0)),"")</f>
        <v/>
      </c>
      <c r="AB52" s="31" t="str" cm="1">
        <f t="array" aca="1" ref="AB52" ca="1">IFERROR(_xlfn.IFS(
OR($G52="Fuel Use",$G52="Fuel Use and Vehicle Distance"),VLOOKUP($M52,INDIRECT("Ref_EF_ByFuel"&amp;"_"&amp;$C52),5,0),
$G52="Vehicle Distance (e.g. Road Transport)",VLOOKUP($H52,INDIRECT("Ref_EF_Vehicle_Distance"&amp;"_"&amp;$C52),5,0),
$G52="Vehicle Distance (e.g. Public or Freight Transport)",VLOOKUP($H52,INDIRECT("Ref_EF_Vehicle_Distance_S3"&amp;"_"&amp;$C52),5,0),
$G52="Custom Vehicle",VLOOKUP($H52,Tbl_vehical_Settings,6,0),
$G52="Custom Fuel",VLOOKUP($M52,Tbl_Fuel_Settings,6,0),
$G52="Weight Distance (e.g. Freight Transport)",VLOOKUP($H52,INDIRECT("Ref_EF_Weight_Distance"&amp;"_"&amp;$C52),5,0),
$G52="Passenger Distance (e.g. Public Transport)",VLOOKUP($H52,INDIRECT("Ref_EF_Public_Transport"&amp;"_"&amp;$C52),5,0)),"")</f>
        <v/>
      </c>
      <c r="AC52" s="31" t="str" cm="1">
        <f t="array" aca="1" ref="AC52" ca="1">IFERROR(_xlfn.IFS(
OR($G52="Fuel Use",$G52="Fuel Use and Vehicle Distance"),VLOOKUP($M52,INDIRECT("Ref_EF_ByFuel"&amp;"_"&amp;$C52),6,0),
$G52="Vehicle Distance (e.g. Road Transport)",VLOOKUP($H52,INDIRECT("Ref_EF_Vehicle_Distance"&amp;"_"&amp;$C52),6,0),
$G52="Vehicle Distance (e.g. Public or Freight Transport)",VLOOKUP($H52,INDIRECT("Ref_EF_Vehicle_Distance_S3"&amp;"_"&amp;$C52),6,0),
$G52="Custom Vehicle",VLOOKUP($H52,Tbl_vehical_Settings,7,0),
$G52="Custom Fuel",VLOOKUP($M52,Tbl_Fuel_Settings,7,0),
$G52="Weight Distance (e.g. Freight Transport)",VLOOKUP($H52,INDIRECT("Ref_EF_Weight_Distance"&amp;"_"&amp;$C52),6,0),
$G52="Passenger Distance (e.g. Public Transport)",VLOOKUP($H52,INDIRECT("Ref_EF_Public_Transport"&amp;"_"&amp;$C52),6,0)),"")</f>
        <v/>
      </c>
      <c r="AD52" s="31" t="str" cm="1">
        <f t="array" aca="1" ref="AD52" ca="1">IFERROR(_xlfn.IFS(
OR($G52="Fuel Use",$G52="Fuel Use and Vehicle Distance"),VLOOKUP($M52,INDIRECT("Ref_EF_ByFuel"&amp;"_"&amp;$C52),4,0),
$G52="Vehicle Distance (e.g. Road Transport)",VLOOKUP($H52,INDIRECT("Ref_EF_Vehicle_Distance"&amp;"_"&amp;$C52),4,0),
$G52="Vehicle Distance (e.g. Public or Freight Transport)",VLOOKUP($H52,INDIRECT("Ref_EF_Vehicle_Distance_S3"&amp;"_"&amp;$C52),4,0),
$G52="Custom Vehicle",VLOOKUP($H52,Tbl_vehical_Settings,5,0),
$G52="Custom Fuel",VLOOKUP($M52,Tbl_Fuel_Settings,5,0),
$G52="Weight Distance (e.g. Freight Transport)",VLOOKUP($H52,INDIRECT("Ref_EF_Weight_Distance"&amp;"_"&amp;$C52),4,0),
$G52="Passenger Distance (e.g. Public Transport)",VLOOKUP($H52,INDIRECT("Ref_EF_Public_Transport"&amp;"_"&amp;$C52),4,0)),"")</f>
        <v/>
      </c>
      <c r="AE52" s="31" t="str" cm="1">
        <f t="array" aca="1" ref="AE52" ca="1">IFERROR(_xlfn.IFS(
OR($G52="Fuel Use",$G52="Fuel Use and Vehicle Distance"),VLOOKUP($M52,INDIRECT("Ref_EF_ByFuel"&amp;"_"&amp;$C52),5,0),
$G52="Vehicle Distance (e.g. Road Transport)",VLOOKUP($H52,INDIRECT("Ref_EF_Vehicle_Distance"&amp;"_"&amp;$C52),5,0),
$G52="Vehicle Distance (e.g. Public or Freight Transport)",VLOOKUP($H52,INDIRECT("Ref_EF_Vehicle_Distance_S3"&amp;"_"&amp;$C52),5,0),
$G52="Custom Vehicle",VLOOKUP($H52,Tbl_vehical_Settings,6,0),
$G52="Custom Fuel",VLOOKUP($M52,Tbl_Fuel_Settings,6,0),
$G52="Weight Distance (e.g. Freight Transport)",VLOOKUP($H52,INDIRECT("Ref_EF_Weight_Distance"&amp;"_"&amp;$C52),5,0),
$G52="Passenger Distance (e.g. Public Transport)",VLOOKUP($H52,INDIRECT("Ref_EF_Public_Transport"&amp;"_"&amp;$C52),5,0)),"")</f>
        <v/>
      </c>
      <c r="AF52" s="31" t="str" cm="1">
        <f t="array" aca="1" ref="AF52" ca="1">IFERROR(_xlfn.IFS(
OR($G52="Fuel Use",$G52="Fuel Use and Vehicle Distance"),VLOOKUP($M52,INDIRECT("Ref_EF_ByFuel"&amp;"_"&amp;$C52),6,0),
$G52="Vehicle Distance (e.g. Road Transport)",VLOOKUP($H52,INDIRECT("Ref_EF_Vehicle_Distance"&amp;"_"&amp;$C52),6,0),
$G52="Vehicle Distance (e.g. Public or Freight Transport)",VLOOKUP($H52,INDIRECT("Ref_EF_Vehicle_Distance_S3"&amp;"_"&amp;$C52),6,0),
$G52="Custom Vehicle",VLOOKUP($H52,Tbl_vehical_Settings,7,0),
$G52="Custom Fuel",VLOOKUP($M52,Tbl_Fuel_Settings,7,0),
$G52="Weight Distance (e.g. Freight Transport)",VLOOKUP($H52,INDIRECT("Ref_EF_Weight_Distance"&amp;"_"&amp;$C52),6,0),
$G52="Passenger Distance (e.g. Public Transport)",VLOOKUP($H52,INDIRECT("Ref_EF_Public_Transport"&amp;"_"&amp;$C52),6,0)),"")</f>
        <v/>
      </c>
      <c r="AG52" s="31" t="str" cm="1">
        <f t="array" aca="1" ref="AG52" ca="1">IFERROR(_xlfn.IFS(
AND($G52="Fuel Use",$E52&lt;&gt;"Road"),VLOOKUP($H52,INDIRECT("Ref_EF_ByFuel_CH4"&amp;"_"&amp;$C52),3,0),
$G52="Vehicle Distance (e.g. Road Transport)",VLOOKUP($H52,INDIRECT("Ref_EF_Vehicle_Distance"&amp;"_"&amp;$C52),7,0),
$G52="Vehicle Distance (e.g. Public or Freight Transport)",VLOOKUP($H52,INDIRECT("Ref_EF_Vehicle_Distance_S3"&amp;"_"&amp;$C52),7,0),
$G52="Fuel Use and Vehicle Distance",VLOOKUP($H52,INDIRECT("Ref_EF_Fuel_Vehicle_Distance"&amp;"_"&amp;$C52),3,0),
$G52="Custom Vehicle",VLOOKUP($H52,Tbl_vehical_Settings,3,0),
$G52="Custom Fuel",VLOOKUP($M52,Tbl_Fuel_Settings,3,0),
$G52="Weight Distance (e.g. Freight Transport)",VLOOKUP($H52,INDIRECT("Ref_EF_Weight_Distance_CH4"&amp;"_"&amp;$C52),3,0),
$G52="Passenger Distance (e.g. Public Transport)",VLOOKUP($H52,INDIRECT("Ref_EF_Public_Transport_CH4"&amp;"_"&amp;$C52),7,0)),"")</f>
        <v/>
      </c>
      <c r="AH52" s="31" t="str" cm="1">
        <f t="array" aca="1" ref="AH52" ca="1">IFERROR(_xlfn.IFS(
AND($G52="Fuel Use",$E52&lt;&gt;"Road"),VLOOKUP($H52,INDIRECT("Ref_EF_ByFuel_CH4"&amp;"_"&amp;$C52),4,0),
$G52="Vehicle Distance (e.g. Road Transport)",VLOOKUP($H52,INDIRECT("Ref_EF_Vehicle_Distance"&amp;"_"&amp;$C52),8,0),
$G52="Vehicle Distance (e.g. Public or Freight Transport)",VLOOKUP($H52,INDIRECT("Ref_EF_Vehicle_Distance_S3"&amp;"_"&amp;$C52),8,0),
$G52="Fuel Use and Vehicle Distance",VLOOKUP($H52,INDIRECT("Ref_EF_Fuel_Vehicle_Distance"&amp;"_"&amp;$C52),4,0),
$G52="Custom Vehicle",VLOOKUP($H52,Tbl_vehical_Settings,6,0),
$G52="Custom Fuel",VLOOKUP($M52,Tbl_Fuel_Settings,6,0),
$G52="Weight Distance (e.g. Freight Transport)",VLOOKUP($H52,INDIRECT("Ref_EF_Weight_Distance_CH4"&amp;"_"&amp;$C52),4,0),
$G52="Passenger Distance (e.g. Public Transport)",VLOOKUP($H52,INDIRECT("Ref_EF_Public_Transport_CH4"&amp;"_"&amp;$C52),8,0)),"")</f>
        <v/>
      </c>
      <c r="AI52" s="31" t="str" cm="1">
        <f t="array" aca="1" ref="AI52" ca="1">IFERROR(_xlfn.IFS(
AND($G52="Fuel Use",$E52&lt;&gt;"Road"),VLOOKUP($H52,INDIRECT("Ref_EF_ByFuel_CH4"&amp;"_"&amp;$C52),5,0),
$G52="Vehicle Distance (e.g. Road Transport)",VLOOKUP($H52,INDIRECT("Ref_EF_Vehicle_Distance"&amp;"_"&amp;$C52),9,0),
$G52="Vehicle Distance (e.g. Public or Freight Transport)",VLOOKUP($H52,INDIRECT("Ref_EF_Vehicle_Distance_S3"&amp;"_"&amp;$C52),9,0),
$G52="Fuel Use and Vehicle Distance",VLOOKUP($H52,INDIRECT("Ref_EF_Fuel_Vehicle_Distance"&amp;"_"&amp;$C52),5,0),
$G52="Custom Vehicle",VLOOKUP($H52,Tbl_vehical_Settings,7,0),
$G52="Custom Fuel",VLOOKUP($M52,Tbl_Fuel_Settings,7,0),
$G52="Weight Distance (e.g. Freight Transport)",VLOOKUP($H52,INDIRECT("Ref_EF_Weight_Distance_CH4"&amp;"_"&amp;$C52),5,0),
$G52="Passenger Distance (e.g. Public Transport)",VLOOKUP($H52,INDIRECT("Ref_EF_Public_Transport_CH4"&amp;"_"&amp;$C52),9,0)),"")</f>
        <v/>
      </c>
      <c r="AJ52" s="31" t="str" cm="1">
        <f t="array" aca="1" ref="AJ52" ca="1">IFERROR(_xlfn.IFS(
AND($G52="Fuel Use",$E52&lt;&gt;"Road"),VLOOKUP($H52,INDIRECT("Ref_EF_ByFuel_CH4"&amp;"_"&amp;$C52),6,0),
$G52="Vehicle Distance (e.g. Road Transport)",VLOOKUP($H52,INDIRECT("Ref_EF_Vehicle_Distance"&amp;"_"&amp;$C52),10,0),
$G52="Vehicle Distance (e.g. Public or Freight Transport)",VLOOKUP($H52,INDIRECT("Ref_EF_Vehicle_Distance_S3"&amp;"_"&amp;$C52),10,0),
$G52="Fuel Use and Vehicle Distance",VLOOKUP($H52,INDIRECT("Ref_EF_Fuel_Vehicle_Distance"&amp;"_"&amp;$C52),6,0),
$G52="Custom Vehicle",VLOOKUP($H52,Tbl_vehical_Settings,4,0),
$G52="Custom Fuel",VLOOKUP($M52,Tbl_Fuel_Settings,4,0),
$G52="Weight Distance (e.g. Freight Transport)",VLOOKUP($H52,INDIRECT("Ref_EF_Weight_Distance_CH4"&amp;"_"&amp;$C52),6,0),
$G52="Passenger Distance (e.g. Public Transport)",VLOOKUP($H52,INDIRECT("Ref_EF_Public_Transport_CH4"&amp;"_"&amp;$C52),10,0)),"")</f>
        <v/>
      </c>
      <c r="AK52" s="31" t="str" cm="1">
        <f t="array" aca="1" ref="AK52" ca="1">IFERROR(_xlfn.IFS(
AND($G52="Fuel Use",$E52&lt;&gt;"Road"),VLOOKUP($H52,INDIRECT("Ref_EF_ByFuel_CH4"&amp;"_"&amp;$C52),7,0),
$G52="Vehicle Distance (e.g. Road Transport)",VLOOKUP($H52,INDIRECT("Ref_EF_Vehicle_Distance"&amp;"_"&amp;$C52),11,0),
$G52="Vehicle Distance (e.g. Public or Freight Transport)",VLOOKUP($H52,INDIRECT("Ref_EF_Vehicle_Distance_S3"&amp;"_"&amp;$C52),11,0),
$G52="Fuel Use and Vehicle Distance",VLOOKUP($H52,INDIRECT("Ref_EF_Fuel_Vehicle_Distance"&amp;"_"&amp;$C52),7,0),
$G52="Custom Vehicle",VLOOKUP($H52,Tbl_vehical_Settings,6,0),
$G52="Custom Fuel",VLOOKUP($M52,Tbl_Fuel_Settings,6,0),
$G52="Weight Distance (e.g. Freight Transport)",VLOOKUP($H52,INDIRECT("Ref_EF_Weight_Distance_CH4"&amp;"_"&amp;$C52),7,0),
$G52="Passenger Distance (e.g. Public Transport)",VLOOKUP($H52,INDIRECT("Ref_EF_Public_Transport_CH4"&amp;"_"&amp;$C52),11,0)),"")</f>
        <v/>
      </c>
      <c r="AL52" s="31" t="str" cm="1">
        <f t="array" aca="1" ref="AL52" ca="1">IFERROR(_xlfn.IFS(
AND($G52="Fuel Use",$E52&lt;&gt;"Road"),VLOOKUP($H52,INDIRECT("Ref_EF_ByFuel_CH4"&amp;"_"&amp;$C52),8,0),
$G52="Vehicle Distance (e.g. Road Transport)",VLOOKUP($H52,INDIRECT("Ref_EF_Vehicle_Distance"&amp;"_"&amp;$C52),12,0),
$G52="Vehicle Distance (e.g. Public or Freight Transport)",VLOOKUP($H52,INDIRECT("Ref_EF_Vehicle_Distance_S3"&amp;"_"&amp;$C52),12,0),
$G52="Fuel Use and Vehicle Distance",VLOOKUP($H52,INDIRECT("Ref_EF_Fuel_Vehicle_Distance"&amp;"_"&amp;$C52),8,0),
$G52="Custom Vehicle",VLOOKUP($H52,Tbl_vehical_Settings,7,0),
$G52="Custom Fuel",VLOOKUP($M52,Tbl_Fuel_Settings,7,0),
$G52="Weight Distance (e.g. Freight Transport)",VLOOKUP($H52,INDIRECT("Ref_EF_Weight_Distance_CH4"&amp;"_"&amp;$C52),8,0),
$G52="Passenger Distance (e.g. Public Transport)",VLOOKUP($H52,INDIRECT("Ref_EF_Public_Transport_CH4"&amp;"_"&amp;$C52),12,0)),"")</f>
        <v/>
      </c>
      <c r="AM52" s="31" t="e">
        <f ca="1">INDEX(Ref_Master_Unit_Table,MATCH($AB52,REF_To_Unit,0),MATCH('Reference - Lookup and Unit'!$A$11,Ref_From_Units,0))</f>
        <v>#N/A</v>
      </c>
      <c r="AN52" s="31" t="e">
        <f t="shared" ca="1" si="0"/>
        <v>#N/A</v>
      </c>
      <c r="AO52" s="31" t="e">
        <f ca="1">INDEX(Ref_Master_Unit_Table,MATCH($AE52,REF_To_Unit,0),MATCH('Reference - Lookup and Unit'!$A$11,Ref_From_Units,0))</f>
        <v>#N/A</v>
      </c>
      <c r="AP52" s="31" t="e">
        <f t="shared" ca="1" si="59"/>
        <v>#N/A</v>
      </c>
      <c r="AQ52" s="31" t="e">
        <f ca="1">INDEX(Ref_Master_Unit_Table,MATCH($AH52,REF_To_Unit,0),MATCH('Reference - Lookup and Unit'!$A$11,Ref_From_Units,0))</f>
        <v>#N/A</v>
      </c>
      <c r="AR52" s="31" t="e">
        <f t="shared" ca="1" si="60"/>
        <v>#N/A</v>
      </c>
      <c r="AS52" s="31" t="e">
        <f ca="1">INDEX(Ref_Master_Unit_Table,MATCH($AK52,REF_To_Unit,0),MATCH('Reference - Lookup and Unit'!$A$11,Ref_From_Units,0))</f>
        <v>#N/A</v>
      </c>
      <c r="AT52" s="31" t="e">
        <f t="shared" ca="1" si="61"/>
        <v>#N/A</v>
      </c>
      <c r="AU52" s="31" t="e" cm="1">
        <f t="array" aca="1" ref="AU52"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52" s="31">
        <f t="shared" ca="1" si="48"/>
        <v>27.9</v>
      </c>
      <c r="AW52" s="31">
        <f t="shared" ca="1" si="49"/>
        <v>273</v>
      </c>
      <c r="AX52" s="31" t="e" cm="1">
        <f t="array" aca="1" ref="AX52"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52" s="25" t="e" cm="1">
        <f t="array" ref="AY52">_xlfn.IFS(
AND($E52&lt;&gt;"",$G52="Custom Fuel"),("Settings_Custom_Fuels"),
AND($E52&lt;&gt;"",$G52="Custom vehicle"),("Settings_Custom_Vehicle"),
AND($E52&lt;&gt;"",$G52="Fuel Use"),("Ref_DD_vehicle_FuelUse"&amp;"_"&amp;C52&amp;"_"&amp;E52),
AND($E52&lt;&gt;"",$G52="Fuel Use and Vehicle Distance"),("Ref_DD_Fuel_VehicleDistance"&amp;"_"&amp;C52&amp;"_"&amp;E52),
AND($E52&lt;&gt;"",$G52="Vehicle Distance (e.g. Road Transport)"),("Ref_DD_vehicle_VehicleDistance"&amp;"_"&amp;C52&amp;"_"&amp;E52),
AND($E52&lt;&gt;"",$G52="Weight Distance (e.g. Freight Transport)"),("Ref_DD_vehicle_WeightDistance"&amp;"_"&amp;C52&amp;"_"&amp;E52),
AND($E52&lt;&gt;"",$G52="Vehicle Distance (e.g. Public or Freight Transport)"),("Ref_DD_vehicle_DistanceS3"&amp;"_"&amp;C52),
AND($E52&lt;&gt;"",$G52="Passenger Distance (e.g. Public Transport)"),("Ref_DD_vehicle_Passenger"&amp;"_"&amp;C52&amp;"_"&amp;E52),
AND($E52="",$G52="Fuel Use"),("Ref_DD_vehicle_FuelUse"&amp;"_"&amp;C52),
AND($E52="",OR($G52="Vehicle Distance (e.g. Road Transport)",$G52="Fuel Use and Vehicle Distance")),("Ref_DD_vehicle_VehicleDistance"&amp;"_"&amp;C52),
AND($E52="",$G52="Weight Distance (e.g. Freight Transport)"),("Ref_DD_vehicle_WeightDistance"&amp;"_"&amp;C52),
AND($E52="",$G52="Vehicle Distance (e.g. Public or Freight Transport)"),("Ref_DD_vehicle_DistanceS3"&amp;"_"&amp;C52),
AND($E52="",$G52="Passenger Distance (e.g. Public Transport)"),("Ref_DD_vehicle_Passenger"&amp;"_"&amp;C52))</f>
        <v>#N/A</v>
      </c>
      <c r="AZ52" s="25" t="b">
        <f t="shared" ca="1" si="4"/>
        <v>0</v>
      </c>
      <c r="BA52" s="25" t="str">
        <f t="shared" si="5"/>
        <v/>
      </c>
      <c r="BB52" s="25" t="str">
        <f t="shared" si="6"/>
        <v/>
      </c>
      <c r="BC52" s="25" t="str">
        <f t="shared" si="50"/>
        <v/>
      </c>
      <c r="BD52" s="25" t="str">
        <f t="shared" si="51"/>
        <v/>
      </c>
      <c r="BE52" s="25" t="str">
        <f t="shared" si="52"/>
        <v/>
      </c>
      <c r="BF52" s="25" t="str">
        <f t="shared" si="53"/>
        <v/>
      </c>
      <c r="BG52" s="25" t="str">
        <f t="shared" si="7"/>
        <v/>
      </c>
      <c r="BH52" s="25" t="str">
        <f t="shared" si="8"/>
        <v/>
      </c>
      <c r="BI52" s="25" t="str">
        <f t="shared" si="54"/>
        <v/>
      </c>
      <c r="BJ52" s="25" t="str">
        <f t="shared" si="55"/>
        <v/>
      </c>
      <c r="BK52" s="25" t="str">
        <f t="shared" si="56"/>
        <v/>
      </c>
      <c r="BL52" s="25" t="str">
        <f t="shared" si="57"/>
        <v/>
      </c>
      <c r="BM52" s="25" t="str">
        <f t="shared" si="9"/>
        <v/>
      </c>
      <c r="BN52" s="25" t="str">
        <f t="shared" ca="1" si="10"/>
        <v/>
      </c>
      <c r="BO52" s="25" t="str">
        <f t="shared" si="11"/>
        <v/>
      </c>
      <c r="BP52" s="25" t="str">
        <f t="shared" si="12"/>
        <v/>
      </c>
      <c r="BQ52" s="25" t="str">
        <f t="shared" si="13"/>
        <v/>
      </c>
      <c r="BR52" s="25" t="str">
        <f t="shared" si="14"/>
        <v/>
      </c>
      <c r="BS52" s="25" t="str">
        <f t="shared" si="15"/>
        <v/>
      </c>
      <c r="BT52" s="25" t="str">
        <f t="shared" si="16"/>
        <v/>
      </c>
      <c r="BU52" s="25" t="str">
        <f t="shared" si="17"/>
        <v/>
      </c>
      <c r="BV52" s="25" t="str">
        <f t="shared" si="18"/>
        <v/>
      </c>
      <c r="BW52" s="25" t="str">
        <f t="shared" si="19"/>
        <v/>
      </c>
      <c r="BX52" s="25" t="str">
        <f t="shared" si="20"/>
        <v/>
      </c>
      <c r="BY52" s="25" t="str">
        <f t="shared" si="21"/>
        <v/>
      </c>
      <c r="BZ52" s="25" t="str">
        <f t="shared" si="22"/>
        <v/>
      </c>
      <c r="CA52" s="25" t="str">
        <f t="shared" si="23"/>
        <v/>
      </c>
      <c r="CB52" s="25" t="str">
        <f t="shared" si="24"/>
        <v/>
      </c>
      <c r="CC52" s="25" t="str">
        <f t="shared" si="25"/>
        <v/>
      </c>
      <c r="CD52" s="25" t="str">
        <f t="shared" si="26"/>
        <v/>
      </c>
      <c r="CE52" s="25" t="str">
        <f t="shared" si="27"/>
        <v/>
      </c>
      <c r="CF52" s="25" t="str">
        <f t="shared" si="28"/>
        <v/>
      </c>
      <c r="CG52" s="25" t="str">
        <f t="shared" si="29"/>
        <v/>
      </c>
      <c r="CH52" s="25" t="str">
        <f t="shared" si="30"/>
        <v/>
      </c>
      <c r="CI52" s="25" t="str">
        <f t="shared" si="31"/>
        <v/>
      </c>
      <c r="CJ52" s="25" t="str">
        <f t="shared" si="32"/>
        <v/>
      </c>
      <c r="CK52" s="25" t="str">
        <f t="shared" si="33"/>
        <v/>
      </c>
      <c r="CL52" s="25" t="str">
        <f t="shared" si="34"/>
        <v/>
      </c>
      <c r="CM52" s="25" t="str">
        <f t="shared" si="35"/>
        <v/>
      </c>
      <c r="CN52" s="25" t="str">
        <f t="shared" si="36"/>
        <v/>
      </c>
      <c r="CO52" s="25" t="str">
        <f t="shared" si="37"/>
        <v/>
      </c>
      <c r="CP52" s="25" t="str">
        <f t="shared" si="38"/>
        <v/>
      </c>
      <c r="CQ52" s="25" t="str">
        <f t="shared" si="39"/>
        <v/>
      </c>
      <c r="CR52" s="25" t="str">
        <f t="shared" si="40"/>
        <v/>
      </c>
      <c r="CS52" s="25" t="str">
        <f t="shared" si="41"/>
        <v/>
      </c>
      <c r="CT52" s="25" t="str">
        <f t="shared" si="42"/>
        <v/>
      </c>
      <c r="CU52" s="25" t="str">
        <f t="shared" si="43"/>
        <v/>
      </c>
      <c r="CV52" s="25" t="str">
        <f t="shared" si="44"/>
        <v/>
      </c>
      <c r="CW52" s="25" t="str">
        <f t="shared" si="45"/>
        <v/>
      </c>
      <c r="CX52" s="25" t="str" cm="1">
        <f t="array" ref="CX52">_xlfn.IFNA(_xlfn.IFS(
$G52="Weight Distance (e.g. Freight Transport)","Ref_DD_WeightDistanceUnits",
$G52="Passenger Distance (e.g. Public Transport)","Ref_DD_PasengerDistanceUnits",
$G52="Vehicle Distance (e.g. Road Transport)", "Ref_DD_DistanceUnit",
$G52="Vehicle Distance (e.g. Public or Freight Transport)","Ref_DD_DistanceUnit",
$G52="Fuel Use and Vehicle Distance", "Ref_DD_DistanceUnit",
$G52="Custom Vehicle",VLOOKUP($H52,'2. Settings'!$B$39:$I$54,8,FALSE)),"")</f>
        <v/>
      </c>
      <c r="CY52" s="27" t="str">
        <f ca="1">IF(AND(ISERROR(#REF!*$AU52)=TRUE,ISERROR((S52/1000)*$AV52)=TRUE,ISERROR((T52/1000)*$AW52)=FALSE),((T52/1000)*$AW52),"")</f>
        <v/>
      </c>
      <c r="CZ52" s="27" cm="1">
        <f t="array" ref="CZ52">IFERROR(_xlfn.IFS(
AND($G52="Custom vehicle",OR($J52="Passenger Mile",$J52="Passenger Kilometer")),"Passenger Distance (e.g. Public Transport)",
AND($G52="Custom vehicle",OR($J52="Tonne Mile",$J52="Tonne Kilometer",$J52="Short Ton Kilometer",$J52="Short Ton Mile")),"Weight Distance (e.g. Freight Transport)",
AND($G52="Custom vehicle",OR($J52="Mile",$J52="Kilometer")),"Vehicle Distance (e.g. Road Transport)",
$G52&lt;&gt;"Custom vehicle",$G52),"")</f>
        <v>0</v>
      </c>
      <c r="DA52" s="27" t="str" cm="1">
        <f t="array" ref="DA52">IFERROR(_xlfn.IFS(OR(J52="Tonne Kilometer",J52="Tonne Mile",J52="Short Ton Mile",J52="Short Ton Kilometer"),I52*K52,OR(J52="Passenger Kilometer",J52="Passenger Mile"),I52*L52,OR(J52="Kilometer",J52="Mile"),$I52),"")</f>
        <v/>
      </c>
    </row>
    <row r="53" spans="2:105" ht="13.8" thickBot="1" x14ac:dyDescent="0.3">
      <c r="B53" s="246"/>
      <c r="C53" s="247" t="str" cm="1">
        <f t="array" ref="C53">IFERROR(_xlfn.IFS($D53="Other", D53&amp;"_" &amp;Ref_Other_to,OR($D53="UK", $D53="US"),$D53),"")</f>
        <v/>
      </c>
      <c r="D53" s="248"/>
      <c r="E53" s="248"/>
      <c r="F53" s="248"/>
      <c r="G53" s="249"/>
      <c r="H53" s="249"/>
      <c r="I53" s="250"/>
      <c r="J53" s="250"/>
      <c r="K53" s="250"/>
      <c r="L53" s="250"/>
      <c r="M53" s="251"/>
      <c r="N53" s="252"/>
      <c r="O53" s="252"/>
      <c r="P53" s="253" t="str">
        <f t="shared" si="58"/>
        <v/>
      </c>
      <c r="Q53" s="254" t="str">
        <f t="shared" si="46"/>
        <v/>
      </c>
      <c r="R53" s="255" t="str" cm="1">
        <f t="array" aca="1" ref="R53" ca="1">IFERROR(_xlfn.IFS(
AND(AA53&gt;0, OR($G53="Fuel Use",$G53="Custom Fuel")),$N53*$AA53*$AM53*$AN53,
AND(AA53&gt;0,$CZ53="Vehicle Distance (e.g. Road Transport)"),$I53*$AA53*$AM53*$AN53,
AND(AA53&gt;0,$CZ53="Vehicle Distance (e.g. Public or Freight Transport)"),$I53*$AA53*$AM53*$AN53,
AND(AA53&gt;0,$CZ53="Fuel Use and Vehicle Distance"),$N53*$AA53*$AM53*$AN53,
AND(AA53&gt;0,$CZ53="Passenger Distance (e.g. Public Transport)"),$DA53*$AA53*$AM53*$AN53,
AND(AA53&gt;0,$CZ53="Weight Distance (e.g. Freight Transport)"),$DA53*$AA53*$AM53*$AN53),"")</f>
        <v/>
      </c>
      <c r="S53" s="256" t="str" cm="1">
        <f t="array" aca="1" ref="S53" ca="1">IFERROR(_xlfn.IFS(
AND(AG53&gt;-1, $G53="Fuel Use and Vehicle Distance"),$I53*$AG53*$AQ53*$AR53,
AND(AG53&gt;-1, $G53="Vehicle Distance (e.g. Road Transport)"),$I53*$AG53*$AQ53*$AR53,
AND(AG53&gt;-1, $CZ53="Vehicle Distance (e.g. Public or Freight Transport)"),$I53*$AG53*$AQ53*$AR53,
AND(AG53&gt;-1, OR($G53="Fuel Use",$G53="Custom Fuel")), $N53*$AG53*$AQ53*$AR53*1000,
AND(AG53&gt;-1, $G53="Custom Vehicle"),$DA53*$AG53*$AQ53*$AR53*1000,
AND(AG53&gt;-1, AND($G53&lt;&gt;"Custom Vehicle",$CZ53="Weight Distance (e.g. Freight Transport)")),$DA53*$AG53*$AQ53*$AR53*1000,
AND(AG53&gt;-1, AND($G53&lt;&gt;"Custom Vehicle",$CZ53="Passenger Distance (e.g. Public Transport)")), $DA53*$AG53*$AQ53*$AR53*1000),"")</f>
        <v/>
      </c>
      <c r="T53" s="256" t="str" cm="1">
        <f t="array" aca="1" ref="T53" ca="1">IFERROR(_xlfn.IFS(
AND(AJ53&gt;0,$G53="Fuel Use and Vehicle Distance"),$I53*$AJ53*$AS53*$AT53,
AND(AJ53&gt;0,$G53="Vehicle Distance (e.g. Road Transport)"),$I53*$AJ53*$AS53*$AT53,
AND(AJ53&gt;0,$G53="Vehicle Distance (e.g. Public or Freight Transport)"),$I53*$AJ53*$AS53*$AT53,
AND(AJ53&gt;0,OR($G53="Fuel Use",$G53="Custom Fuel")), $N53*$AJ53*$AS53*$AT53*1000,
AND(AJ53&gt;0,$G53="Custom Vehicle"),$DA53*$AJ53*$AS53*$AT53*1000,
AND(AJ53&gt;0,AND($G53&lt;&gt;"Custom Vehicle",$CZ53="Weight Distance (e.g. Freight Transport)")),$DA53*$AJ53*$AS53*$AT53*1000,
AND(AJ53&gt;0,AND($G53&lt;&gt;"Custom Vehicle",$CZ53="Passenger Distance (e.g. Public Transport)")), $DA53*$AJ53*$AS53*$AT53*1000),"")</f>
        <v/>
      </c>
      <c r="U53" s="256" t="str">
        <f ca="1">IF(AND(ISERROR($R53*$AU53)=FALSE,ISERROR((S53/1000)*$AV53)=FALSE,ISERROR((T53/1000)*$AW53)=FALSE),($R53*$AU53)+((S53/1000)*$AV53)+((T53/1000)*$AW53),IF(AND(ISERROR($R53*$AU53)=FALSE,ISERROR((S53/1000)*$AV53)=FALSE,ISERROR((T53/1000)*$AW53)=TRUE),($R53*$AU53)+((S53/1000)*$AV53),IF(AND(ISERROR($R53*$AU53)=FALSE,ISERROR((S53/1000)*$AV53)=TRUE,ISERROR((T53/1000)*$AW53)=FALSE),($R53*$AU53)+((T53/1000)*$AW53),IF(AND(ISERROR($R53*$AU53)=FALSE,ISERROR((S53/1000)*$AV53)=TRUE,ISERROR((T53/1000)*$AW53)=TRUE),($R53*$AU53),IF(AND(ISERROR($R53*$AU53)=TRUE,ISERROR((S53/1000)*$AV53)=FALSE,ISERROR((T53/1000)*$AW53)=FALSE),((S53/1000)*$AV53)+((T53/1000)*$AW53),IF(AND(ISERROR($R53*$AU53)=TRUE,ISERROR((S53/1000)*$AV53)=FALSE,ISERROR((T53/1000)*$AW53)=TRUE),((S53/1000)*$AV53),CY53))))))</f>
        <v/>
      </c>
      <c r="V53" s="256" t="str" cm="1">
        <f t="array" aca="1" ref="V53" ca="1">IFERROR(_xlfn.IFS(
AND(AD53&gt;0,OR($CZ53="Fuel Use",$CZ53="Custom Fuel",$CZ53="Fuel Use and Vehicle Distance")),($N53*$AD53*$AO53*$AP53),
AND(AD53&gt;0,$G53="Custom Vehicle"),$DA53*$AD53*$AO53*$AP53,
AND(AD53&gt;0,$CZ53="Vehicle Distance (e.g. Public or Freight Transport)"),$I53*$AD53*$AM53*$AN53,
AND(AD53&gt;0,$CZ53="Weight Distance (e.g. Freight Transport)"),($I53*$K53*$AD53*$AO53*$AP53),
AND(AD53&gt;0,$CZ53="Passenger Distance (e.g. Public Transport)"),$I53*$L53*$AD53*$AO53*$AP53,
AND(AD53&gt;0,$CZ53="Vehicle Distance (e.g. Road Transport)"),($I53*$AD53*$AO53*$AP53)),"")</f>
        <v/>
      </c>
      <c r="W53" s="257" t="str" cm="1">
        <f t="array" aca="1" ref="W53" ca="1">IFERROR(_xlfn.IFS(AND(ISNUMBER(R53),AA53=0),AA53&amp;" "&amp;"("&amp;AB53&amp;" CO2/"&amp;AC53&amp;")",AND(ISNUMBER(R53),AA53&gt;0),ROUND(AA53,INT(3-LOG(AA53)))&amp;" "&amp;"("&amp;AB53&amp;" CO2/"&amp;AC53&amp;")"),"")</f>
        <v/>
      </c>
      <c r="X53" s="257" t="str" cm="1">
        <f t="array" aca="1" ref="X53" ca="1">IFERROR(_xlfn.IFS(AND(ISNUMBER(S53), AG53=0),AG53&amp;" "&amp;"("&amp;AH53&amp;" CH4/"&amp;AI53&amp;")",AND(ISNUMBER(S53), AG53&gt;0),ROUND(AG53,INT(3-LOG(AG53)))&amp;" "&amp;"("&amp;AH53&amp;" CH4/"&amp;AI53&amp;")"),"")</f>
        <v/>
      </c>
      <c r="Y53" s="257"/>
      <c r="Z53" s="258"/>
      <c r="AA53" s="240" t="str" cm="1">
        <f t="array" aca="1" ref="AA53" ca="1">IFERROR(_xlfn.IFS(
OR($G53="Fuel Use",$G53="Fuel Use and Vehicle Distance"),VLOOKUP($M53,INDIRECT("Ref_EF_ByFuel"&amp;"_"&amp;$C53),3,0),
$G53="Vehicle Distance (e.g. Road Transport)",VLOOKUP($H53,INDIRECT("Ref_EF_Vehicle_Distance"&amp;"_"&amp;$C53),3,0),
$G53="Vehicle Distance (e.g. Public or Freight Transport)",VLOOKUP($H53,INDIRECT("Ref_EF_Vehicle_Distance_S3"&amp;"_"&amp;$C53),3,0),
$G53="Custom Vehicle",VLOOKUP($H53,Tbl_vehical_Settings,2,0),
$G53="Custom Fuel",VLOOKUP($M53,Tbl_Fuel_Settings,2,0),
$G53="Weight Distance (e.g. Freight Transport)",VLOOKUP($H53,INDIRECT("Ref_EF_Weight_Distance"&amp;"_"&amp;$C53),3,0),
$G53="Passenger Distance (e.g. Public Transport)",VLOOKUP($H53,INDIRECT("Ref_EF_Public_Transport"&amp;"_"&amp;$C53),3,0)),"")</f>
        <v/>
      </c>
      <c r="AB53" s="31" t="str" cm="1">
        <f t="array" aca="1" ref="AB53" ca="1">IFERROR(_xlfn.IFS(
OR($G53="Fuel Use",$G53="Fuel Use and Vehicle Distance"),VLOOKUP($M53,INDIRECT("Ref_EF_ByFuel"&amp;"_"&amp;$C53),5,0),
$G53="Vehicle Distance (e.g. Road Transport)",VLOOKUP($H53,INDIRECT("Ref_EF_Vehicle_Distance"&amp;"_"&amp;$C53),5,0),
$G53="Vehicle Distance (e.g. Public or Freight Transport)",VLOOKUP($H53,INDIRECT("Ref_EF_Vehicle_Distance_S3"&amp;"_"&amp;$C53),5,0),
$G53="Custom Vehicle",VLOOKUP($H53,Tbl_vehical_Settings,6,0),
$G53="Custom Fuel",VLOOKUP($M53,Tbl_Fuel_Settings,6,0),
$G53="Weight Distance (e.g. Freight Transport)",VLOOKUP($H53,INDIRECT("Ref_EF_Weight_Distance"&amp;"_"&amp;$C53),5,0),
$G53="Passenger Distance (e.g. Public Transport)",VLOOKUP($H53,INDIRECT("Ref_EF_Public_Transport"&amp;"_"&amp;$C53),5,0)),"")</f>
        <v/>
      </c>
      <c r="AC53" s="31" t="str" cm="1">
        <f t="array" aca="1" ref="AC53" ca="1">IFERROR(_xlfn.IFS(
OR($G53="Fuel Use",$G53="Fuel Use and Vehicle Distance"),VLOOKUP($M53,INDIRECT("Ref_EF_ByFuel"&amp;"_"&amp;$C53),6,0),
$G53="Vehicle Distance (e.g. Road Transport)",VLOOKUP($H53,INDIRECT("Ref_EF_Vehicle_Distance"&amp;"_"&amp;$C53),6,0),
$G53="Vehicle Distance (e.g. Public or Freight Transport)",VLOOKUP($H53,INDIRECT("Ref_EF_Vehicle_Distance_S3"&amp;"_"&amp;$C53),6,0),
$G53="Custom Vehicle",VLOOKUP($H53,Tbl_vehical_Settings,7,0),
$G53="Custom Fuel",VLOOKUP($M53,Tbl_Fuel_Settings,7,0),
$G53="Weight Distance (e.g. Freight Transport)",VLOOKUP($H53,INDIRECT("Ref_EF_Weight_Distance"&amp;"_"&amp;$C53),6,0),
$G53="Passenger Distance (e.g. Public Transport)",VLOOKUP($H53,INDIRECT("Ref_EF_Public_Transport"&amp;"_"&amp;$C53),6,0)),"")</f>
        <v/>
      </c>
      <c r="AD53" s="31" t="str" cm="1">
        <f t="array" aca="1" ref="AD53" ca="1">IFERROR(_xlfn.IFS(
OR($G53="Fuel Use",$G53="Fuel Use and Vehicle Distance"),VLOOKUP($M53,INDIRECT("Ref_EF_ByFuel"&amp;"_"&amp;$C53),4,0),
$G53="Vehicle Distance (e.g. Road Transport)",VLOOKUP($H53,INDIRECT("Ref_EF_Vehicle_Distance"&amp;"_"&amp;$C53),4,0),
$G53="Vehicle Distance (e.g. Public or Freight Transport)",VLOOKUP($H53,INDIRECT("Ref_EF_Vehicle_Distance_S3"&amp;"_"&amp;$C53),4,0),
$G53="Custom Vehicle",VLOOKUP($H53,Tbl_vehical_Settings,5,0),
$G53="Custom Fuel",VLOOKUP($M53,Tbl_Fuel_Settings,5,0),
$G53="Weight Distance (e.g. Freight Transport)",VLOOKUP($H53,INDIRECT("Ref_EF_Weight_Distance"&amp;"_"&amp;$C53),4,0),
$G53="Passenger Distance (e.g. Public Transport)",VLOOKUP($H53,INDIRECT("Ref_EF_Public_Transport"&amp;"_"&amp;$C53),4,0)),"")</f>
        <v/>
      </c>
      <c r="AE53" s="31" t="str" cm="1">
        <f t="array" aca="1" ref="AE53" ca="1">IFERROR(_xlfn.IFS(
OR($G53="Fuel Use",$G53="Fuel Use and Vehicle Distance"),VLOOKUP($M53,INDIRECT("Ref_EF_ByFuel"&amp;"_"&amp;$C53),5,0),
$G53="Vehicle Distance (e.g. Road Transport)",VLOOKUP($H53,INDIRECT("Ref_EF_Vehicle_Distance"&amp;"_"&amp;$C53),5,0),
$G53="Vehicle Distance (e.g. Public or Freight Transport)",VLOOKUP($H53,INDIRECT("Ref_EF_Vehicle_Distance_S3"&amp;"_"&amp;$C53),5,0),
$G53="Custom Vehicle",VLOOKUP($H53,Tbl_vehical_Settings,6,0),
$G53="Custom Fuel",VLOOKUP($M53,Tbl_Fuel_Settings,6,0),
$G53="Weight Distance (e.g. Freight Transport)",VLOOKUP($H53,INDIRECT("Ref_EF_Weight_Distance"&amp;"_"&amp;$C53),5,0),
$G53="Passenger Distance (e.g. Public Transport)",VLOOKUP($H53,INDIRECT("Ref_EF_Public_Transport"&amp;"_"&amp;$C53),5,0)),"")</f>
        <v/>
      </c>
      <c r="AF53" s="31" t="str" cm="1">
        <f t="array" aca="1" ref="AF53" ca="1">IFERROR(_xlfn.IFS(
OR($G53="Fuel Use",$G53="Fuel Use and Vehicle Distance"),VLOOKUP($M53,INDIRECT("Ref_EF_ByFuel"&amp;"_"&amp;$C53),6,0),
$G53="Vehicle Distance (e.g. Road Transport)",VLOOKUP($H53,INDIRECT("Ref_EF_Vehicle_Distance"&amp;"_"&amp;$C53),6,0),
$G53="Vehicle Distance (e.g. Public or Freight Transport)",VLOOKUP($H53,INDIRECT("Ref_EF_Vehicle_Distance_S3"&amp;"_"&amp;$C53),6,0),
$G53="Custom Vehicle",VLOOKUP($H53,Tbl_vehical_Settings,7,0),
$G53="Custom Fuel",VLOOKUP($M53,Tbl_Fuel_Settings,7,0),
$G53="Weight Distance (e.g. Freight Transport)",VLOOKUP($H53,INDIRECT("Ref_EF_Weight_Distance"&amp;"_"&amp;$C53),6,0),
$G53="Passenger Distance (e.g. Public Transport)",VLOOKUP($H53,INDIRECT("Ref_EF_Public_Transport"&amp;"_"&amp;$C53),6,0)),"")</f>
        <v/>
      </c>
      <c r="AG53" s="31" t="str" cm="1">
        <f t="array" aca="1" ref="AG53" ca="1">IFERROR(_xlfn.IFS(
AND($G53="Fuel Use",$E53&lt;&gt;"Road"),VLOOKUP($H53,INDIRECT("Ref_EF_ByFuel_CH4"&amp;"_"&amp;$C53),3,0),
$G53="Vehicle Distance (e.g. Road Transport)",VLOOKUP($H53,INDIRECT("Ref_EF_Vehicle_Distance"&amp;"_"&amp;$C53),7,0),
$G53="Vehicle Distance (e.g. Public or Freight Transport)",VLOOKUP($H53,INDIRECT("Ref_EF_Vehicle_Distance_S3"&amp;"_"&amp;$C53),7,0),
$G53="Fuel Use and Vehicle Distance",VLOOKUP($H53,INDIRECT("Ref_EF_Fuel_Vehicle_Distance"&amp;"_"&amp;$C53),3,0),
$G53="Custom Vehicle",VLOOKUP($H53,Tbl_vehical_Settings,3,0),
$G53="Custom Fuel",VLOOKUP($M53,Tbl_Fuel_Settings,3,0),
$G53="Weight Distance (e.g. Freight Transport)",VLOOKUP($H53,INDIRECT("Ref_EF_Weight_Distance_CH4"&amp;"_"&amp;$C53),3,0),
$G53="Passenger Distance (e.g. Public Transport)",VLOOKUP($H53,INDIRECT("Ref_EF_Public_Transport_CH4"&amp;"_"&amp;$C53),7,0)),"")</f>
        <v/>
      </c>
      <c r="AH53" s="31" t="str" cm="1">
        <f t="array" aca="1" ref="AH53" ca="1">IFERROR(_xlfn.IFS(
AND($G53="Fuel Use",$E53&lt;&gt;"Road"),VLOOKUP($H53,INDIRECT("Ref_EF_ByFuel_CH4"&amp;"_"&amp;$C53),4,0),
$G53="Vehicle Distance (e.g. Road Transport)",VLOOKUP($H53,INDIRECT("Ref_EF_Vehicle_Distance"&amp;"_"&amp;$C53),8,0),
$G53="Vehicle Distance (e.g. Public or Freight Transport)",VLOOKUP($H53,INDIRECT("Ref_EF_Vehicle_Distance_S3"&amp;"_"&amp;$C53),8,0),
$G53="Fuel Use and Vehicle Distance",VLOOKUP($H53,INDIRECT("Ref_EF_Fuel_Vehicle_Distance"&amp;"_"&amp;$C53),4,0),
$G53="Custom Vehicle",VLOOKUP($H53,Tbl_vehical_Settings,6,0),
$G53="Custom Fuel",VLOOKUP($M53,Tbl_Fuel_Settings,6,0),
$G53="Weight Distance (e.g. Freight Transport)",VLOOKUP($H53,INDIRECT("Ref_EF_Weight_Distance_CH4"&amp;"_"&amp;$C53),4,0),
$G53="Passenger Distance (e.g. Public Transport)",VLOOKUP($H53,INDIRECT("Ref_EF_Public_Transport_CH4"&amp;"_"&amp;$C53),8,0)),"")</f>
        <v/>
      </c>
      <c r="AI53" s="31" t="str" cm="1">
        <f t="array" aca="1" ref="AI53" ca="1">IFERROR(_xlfn.IFS(
AND($G53="Fuel Use",$E53&lt;&gt;"Road"),VLOOKUP($H53,INDIRECT("Ref_EF_ByFuel_CH4"&amp;"_"&amp;$C53),5,0),
$G53="Vehicle Distance (e.g. Road Transport)",VLOOKUP($H53,INDIRECT("Ref_EF_Vehicle_Distance"&amp;"_"&amp;$C53),9,0),
$G53="Vehicle Distance (e.g. Public or Freight Transport)",VLOOKUP($H53,INDIRECT("Ref_EF_Vehicle_Distance_S3"&amp;"_"&amp;$C53),9,0),
$G53="Fuel Use and Vehicle Distance",VLOOKUP($H53,INDIRECT("Ref_EF_Fuel_Vehicle_Distance"&amp;"_"&amp;$C53),5,0),
$G53="Custom Vehicle",VLOOKUP($H53,Tbl_vehical_Settings,7,0),
$G53="Custom Fuel",VLOOKUP($M53,Tbl_Fuel_Settings,7,0),
$G53="Weight Distance (e.g. Freight Transport)",VLOOKUP($H53,INDIRECT("Ref_EF_Weight_Distance_CH4"&amp;"_"&amp;$C53),5,0),
$G53="Passenger Distance (e.g. Public Transport)",VLOOKUP($H53,INDIRECT("Ref_EF_Public_Transport_CH4"&amp;"_"&amp;$C53),9,0)),"")</f>
        <v/>
      </c>
      <c r="AJ53" s="31" t="str" cm="1">
        <f t="array" aca="1" ref="AJ53" ca="1">IFERROR(_xlfn.IFS(
AND($G53="Fuel Use",$E53&lt;&gt;"Road"),VLOOKUP($H53,INDIRECT("Ref_EF_ByFuel_CH4"&amp;"_"&amp;$C53),6,0),
$G53="Vehicle Distance (e.g. Road Transport)",VLOOKUP($H53,INDIRECT("Ref_EF_Vehicle_Distance"&amp;"_"&amp;$C53),10,0),
$G53="Vehicle Distance (e.g. Public or Freight Transport)",VLOOKUP($H53,INDIRECT("Ref_EF_Vehicle_Distance_S3"&amp;"_"&amp;$C53),10,0),
$G53="Fuel Use and Vehicle Distance",VLOOKUP($H53,INDIRECT("Ref_EF_Fuel_Vehicle_Distance"&amp;"_"&amp;$C53),6,0),
$G53="Custom Vehicle",VLOOKUP($H53,Tbl_vehical_Settings,4,0),
$G53="Custom Fuel",VLOOKUP($M53,Tbl_Fuel_Settings,4,0),
$G53="Weight Distance (e.g. Freight Transport)",VLOOKUP($H53,INDIRECT("Ref_EF_Weight_Distance_CH4"&amp;"_"&amp;$C53),6,0),
$G53="Passenger Distance (e.g. Public Transport)",VLOOKUP($H53,INDIRECT("Ref_EF_Public_Transport_CH4"&amp;"_"&amp;$C53),10,0)),"")</f>
        <v/>
      </c>
      <c r="AK53" s="31" t="str" cm="1">
        <f t="array" aca="1" ref="AK53" ca="1">IFERROR(_xlfn.IFS(
AND($G53="Fuel Use",$E53&lt;&gt;"Road"),VLOOKUP($H53,INDIRECT("Ref_EF_ByFuel_CH4"&amp;"_"&amp;$C53),7,0),
$G53="Vehicle Distance (e.g. Road Transport)",VLOOKUP($H53,INDIRECT("Ref_EF_Vehicle_Distance"&amp;"_"&amp;$C53),11,0),
$G53="Vehicle Distance (e.g. Public or Freight Transport)",VLOOKUP($H53,INDIRECT("Ref_EF_Vehicle_Distance_S3"&amp;"_"&amp;$C53),11,0),
$G53="Fuel Use and Vehicle Distance",VLOOKUP($H53,INDIRECT("Ref_EF_Fuel_Vehicle_Distance"&amp;"_"&amp;$C53),7,0),
$G53="Custom Vehicle",VLOOKUP($H53,Tbl_vehical_Settings,6,0),
$G53="Custom Fuel",VLOOKUP($M53,Tbl_Fuel_Settings,6,0),
$G53="Weight Distance (e.g. Freight Transport)",VLOOKUP($H53,INDIRECT("Ref_EF_Weight_Distance_CH4"&amp;"_"&amp;$C53),7,0),
$G53="Passenger Distance (e.g. Public Transport)",VLOOKUP($H53,INDIRECT("Ref_EF_Public_Transport_CH4"&amp;"_"&amp;$C53),11,0)),"")</f>
        <v/>
      </c>
      <c r="AL53" s="31" t="str" cm="1">
        <f t="array" aca="1" ref="AL53" ca="1">IFERROR(_xlfn.IFS(
AND($G53="Fuel Use",$E53&lt;&gt;"Road"),VLOOKUP($H53,INDIRECT("Ref_EF_ByFuel_CH4"&amp;"_"&amp;$C53),8,0),
$G53="Vehicle Distance (e.g. Road Transport)",VLOOKUP($H53,INDIRECT("Ref_EF_Vehicle_Distance"&amp;"_"&amp;$C53),12,0),
$G53="Vehicle Distance (e.g. Public or Freight Transport)",VLOOKUP($H53,INDIRECT("Ref_EF_Vehicle_Distance_S3"&amp;"_"&amp;$C53),12,0),
$G53="Fuel Use and Vehicle Distance",VLOOKUP($H53,INDIRECT("Ref_EF_Fuel_Vehicle_Distance"&amp;"_"&amp;$C53),8,0),
$G53="Custom Vehicle",VLOOKUP($H53,Tbl_vehical_Settings,7,0),
$G53="Custom Fuel",VLOOKUP($M53,Tbl_Fuel_Settings,7,0),
$G53="Weight Distance (e.g. Freight Transport)",VLOOKUP($H53,INDIRECT("Ref_EF_Weight_Distance_CH4"&amp;"_"&amp;$C53),8,0),
$G53="Passenger Distance (e.g. Public Transport)",VLOOKUP($H53,INDIRECT("Ref_EF_Public_Transport_CH4"&amp;"_"&amp;$C53),12,0)),"")</f>
        <v/>
      </c>
      <c r="AM53" s="31" t="e">
        <f ca="1">INDEX(Ref_Master_Unit_Table,MATCH($AB53,REF_To_Unit,0),MATCH('Reference - Lookup and Unit'!$A$11,Ref_From_Units,0))</f>
        <v>#N/A</v>
      </c>
      <c r="AN53" s="31" t="e">
        <f t="shared" ca="1" si="0"/>
        <v>#N/A</v>
      </c>
      <c r="AO53" s="31" t="e">
        <f ca="1">INDEX(Ref_Master_Unit_Table,MATCH($AE53,REF_To_Unit,0),MATCH('Reference - Lookup and Unit'!$A$11,Ref_From_Units,0))</f>
        <v>#N/A</v>
      </c>
      <c r="AP53" s="31" t="e">
        <f t="shared" ca="1" si="59"/>
        <v>#N/A</v>
      </c>
      <c r="AQ53" s="31" t="e">
        <f ca="1">INDEX(Ref_Master_Unit_Table,MATCH($AH53,REF_To_Unit,0),MATCH('Reference - Lookup and Unit'!$A$11,Ref_From_Units,0))</f>
        <v>#N/A</v>
      </c>
      <c r="AR53" s="31" t="e">
        <f t="shared" ca="1" si="60"/>
        <v>#N/A</v>
      </c>
      <c r="AS53" s="31" t="e">
        <f ca="1">INDEX(Ref_Master_Unit_Table,MATCH($AK53,REF_To_Unit,0),MATCH('Reference - Lookup and Unit'!$A$11,Ref_From_Units,0))</f>
        <v>#N/A</v>
      </c>
      <c r="AT53" s="31" t="e">
        <f t="shared" ca="1" si="61"/>
        <v>#N/A</v>
      </c>
      <c r="AU53" s="31" t="e" cm="1">
        <f t="array" aca="1" ref="AU53" ca="1">VLOOKUP("CO2",INDIRECT(_xlfn.IFS(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V53" s="31">
        <f t="shared" ca="1" si="48"/>
        <v>27.9</v>
      </c>
      <c r="AW53" s="31">
        <f t="shared" ca="1" si="49"/>
        <v>273</v>
      </c>
      <c r="AX53" s="31" t="e" cm="1">
        <f t="array" aca="1" ref="AX53" ca="1">VLOOKUP("Biofuel CO2",INDIRECT(_xlfn.IFS(
Setting_IPCC_GWP_VERSION="2007 IPCC Fourth Assessment Report (AR4)","Ref_EF_IPCC_GWP_2007",
Setting_IPCC_GWP_VERSION="2014 IPCC Fifth Assessment Report (AR5)","Ref_EF_IPCC_GWP_2014",
Setting_IPCC_GWP_VERSION="2021 IPCC Sixth Assessment Report (AR6)","Ref_EF_IPCC_GWP_2021")),2,0)</f>
        <v>#N/A</v>
      </c>
      <c r="AY53" s="25" t="e" cm="1">
        <f t="array" ref="AY53">_xlfn.IFS(
AND($E53&lt;&gt;"",$G53="Custom Fuel"),("Settings_Custom_Fuels"),
AND($E53&lt;&gt;"",$G53="Custom vehicle"),("Settings_Custom_Vehicle"),
AND($E53&lt;&gt;"",$G53="Fuel Use"),("Ref_DD_vehicle_FuelUse"&amp;"_"&amp;C53&amp;"_"&amp;E53),
AND($E53&lt;&gt;"",$G53="Fuel Use and Vehicle Distance"),("Ref_DD_Fuel_VehicleDistance"&amp;"_"&amp;C53&amp;"_"&amp;E53),
AND($E53&lt;&gt;"",$G53="Vehicle Distance (e.g. Road Transport)"),("Ref_DD_vehicle_VehicleDistance"&amp;"_"&amp;C53&amp;"_"&amp;E53),
AND($E53&lt;&gt;"",$G53="Weight Distance (e.g. Freight Transport)"),("Ref_DD_vehicle_WeightDistance"&amp;"_"&amp;C53&amp;"_"&amp;E53),
AND($E53&lt;&gt;"",$G53="Vehicle Distance (e.g. Public or Freight Transport)"),("Ref_DD_vehicle_DistanceS3"&amp;"_"&amp;C53),
AND($E53&lt;&gt;"",$G53="Passenger Distance (e.g. Public Transport)"),("Ref_DD_vehicle_Passenger"&amp;"_"&amp;C53&amp;"_"&amp;E53),
AND($E53="",$G53="Fuel Use"),("Ref_DD_vehicle_FuelUse"&amp;"_"&amp;C53),
AND($E53="",OR($G53="Vehicle Distance (e.g. Road Transport)",$G53="Fuel Use and Vehicle Distance")),("Ref_DD_vehicle_VehicleDistance"&amp;"_"&amp;C53),
AND($E53="",$G53="Weight Distance (e.g. Freight Transport)"),("Ref_DD_vehicle_WeightDistance"&amp;"_"&amp;C53),
AND($E53="",$G53="Vehicle Distance (e.g. Public or Freight Transport)"),("Ref_DD_vehicle_DistanceS3"&amp;"_"&amp;C53),
AND($E53="",$G53="Passenger Distance (e.g. Public Transport)"),("Ref_DD_vehicle_Passenger"&amp;"_"&amp;C53))</f>
        <v>#N/A</v>
      </c>
      <c r="AZ53" s="25" t="b">
        <f t="shared" ca="1" si="4"/>
        <v>0</v>
      </c>
      <c r="BA53" s="25" t="str">
        <f t="shared" si="5"/>
        <v/>
      </c>
      <c r="BB53" s="25" t="str">
        <f t="shared" si="6"/>
        <v/>
      </c>
      <c r="BC53" s="25" t="str">
        <f t="shared" si="50"/>
        <v/>
      </c>
      <c r="BD53" s="25" t="str">
        <f t="shared" si="51"/>
        <v/>
      </c>
      <c r="BE53" s="25" t="str">
        <f t="shared" si="52"/>
        <v/>
      </c>
      <c r="BF53" s="25" t="str">
        <f t="shared" si="53"/>
        <v/>
      </c>
      <c r="BG53" s="25" t="str">
        <f t="shared" si="7"/>
        <v/>
      </c>
      <c r="BH53" s="25" t="str">
        <f t="shared" si="8"/>
        <v/>
      </c>
      <c r="BI53" s="25" t="str">
        <f t="shared" si="54"/>
        <v/>
      </c>
      <c r="BJ53" s="25" t="str">
        <f t="shared" si="55"/>
        <v/>
      </c>
      <c r="BK53" s="25" t="str">
        <f t="shared" si="56"/>
        <v/>
      </c>
      <c r="BL53" s="25" t="str">
        <f t="shared" si="57"/>
        <v/>
      </c>
      <c r="BM53" s="25" t="str">
        <f t="shared" si="9"/>
        <v/>
      </c>
      <c r="BN53" s="25" t="str">
        <f t="shared" ca="1" si="10"/>
        <v/>
      </c>
      <c r="BO53" s="25" t="str">
        <f t="shared" si="11"/>
        <v/>
      </c>
      <c r="BP53" s="25" t="str">
        <f t="shared" si="12"/>
        <v/>
      </c>
      <c r="BQ53" s="25" t="str">
        <f t="shared" si="13"/>
        <v/>
      </c>
      <c r="BR53" s="25" t="str">
        <f t="shared" si="14"/>
        <v/>
      </c>
      <c r="BS53" s="25" t="str">
        <f t="shared" si="15"/>
        <v/>
      </c>
      <c r="BT53" s="25" t="str">
        <f t="shared" si="16"/>
        <v/>
      </c>
      <c r="BU53" s="25" t="str">
        <f t="shared" si="17"/>
        <v/>
      </c>
      <c r="BV53" s="25" t="str">
        <f t="shared" si="18"/>
        <v/>
      </c>
      <c r="BW53" s="25" t="str">
        <f t="shared" si="19"/>
        <v/>
      </c>
      <c r="BX53" s="25" t="str">
        <f t="shared" si="20"/>
        <v/>
      </c>
      <c r="BY53" s="25" t="str">
        <f t="shared" si="21"/>
        <v/>
      </c>
      <c r="BZ53" s="25" t="str">
        <f t="shared" si="22"/>
        <v/>
      </c>
      <c r="CA53" s="25" t="str">
        <f t="shared" si="23"/>
        <v/>
      </c>
      <c r="CB53" s="25" t="str">
        <f t="shared" si="24"/>
        <v/>
      </c>
      <c r="CC53" s="25" t="str">
        <f t="shared" si="25"/>
        <v/>
      </c>
      <c r="CD53" s="25" t="str">
        <f t="shared" si="26"/>
        <v/>
      </c>
      <c r="CE53" s="25" t="str">
        <f t="shared" si="27"/>
        <v/>
      </c>
      <c r="CF53" s="25" t="str">
        <f t="shared" si="28"/>
        <v/>
      </c>
      <c r="CG53" s="25" t="str">
        <f t="shared" si="29"/>
        <v/>
      </c>
      <c r="CH53" s="25" t="str">
        <f t="shared" si="30"/>
        <v/>
      </c>
      <c r="CI53" s="25" t="str">
        <f t="shared" si="31"/>
        <v/>
      </c>
      <c r="CJ53" s="25" t="str">
        <f t="shared" si="32"/>
        <v/>
      </c>
      <c r="CK53" s="25" t="str">
        <f t="shared" si="33"/>
        <v/>
      </c>
      <c r="CL53" s="25" t="str">
        <f t="shared" si="34"/>
        <v/>
      </c>
      <c r="CM53" s="25" t="str">
        <f t="shared" si="35"/>
        <v/>
      </c>
      <c r="CN53" s="25" t="str">
        <f t="shared" si="36"/>
        <v/>
      </c>
      <c r="CO53" s="25" t="str">
        <f t="shared" si="37"/>
        <v/>
      </c>
      <c r="CP53" s="25" t="str">
        <f t="shared" si="38"/>
        <v/>
      </c>
      <c r="CQ53" s="25" t="str">
        <f t="shared" si="39"/>
        <v/>
      </c>
      <c r="CR53" s="25" t="str">
        <f t="shared" si="40"/>
        <v/>
      </c>
      <c r="CS53" s="25" t="str">
        <f t="shared" si="41"/>
        <v/>
      </c>
      <c r="CT53" s="25" t="str">
        <f t="shared" si="42"/>
        <v/>
      </c>
      <c r="CU53" s="25" t="str">
        <f t="shared" si="43"/>
        <v/>
      </c>
      <c r="CV53" s="25" t="str">
        <f t="shared" si="44"/>
        <v/>
      </c>
      <c r="CW53" s="25" t="str">
        <f t="shared" si="45"/>
        <v/>
      </c>
      <c r="CX53" s="25" t="str" cm="1">
        <f t="array" ref="CX53">_xlfn.IFNA(_xlfn.IFS(
$G53="Weight Distance (e.g. Freight Transport)","Ref_DD_WeightDistanceUnits",
$G53="Passenger Distance (e.g. Public Transport)","Ref_DD_PasengerDistanceUnits",
$G53="Vehicle Distance (e.g. Road Transport)", "Ref_DD_DistanceUnit",
$G53="Vehicle Distance (e.g. Public or Freight Transport)","Ref_DD_DistanceUnit",
$G53="Fuel Use and Vehicle Distance", "Ref_DD_DistanceUnit",
$G53="Custom Vehicle",VLOOKUP($H53,'2. Settings'!$B$39:$I$54,8,FALSE)),"")</f>
        <v/>
      </c>
      <c r="CY53" s="27" t="str">
        <f ca="1">IF(AND(ISERROR(#REF!*$AU53)=TRUE,ISERROR((S53/1000)*$AV53)=TRUE,ISERROR((T53/1000)*$AW53)=FALSE),((T53/1000)*$AW53),"")</f>
        <v/>
      </c>
      <c r="CZ53" s="27" cm="1">
        <f t="array" ref="CZ53">IFERROR(_xlfn.IFS(
AND($G53="Custom vehicle",OR($J53="Passenger Mile",$J53="Passenger Kilometer")),"Passenger Distance (e.g. Public Transport)",
AND($G53="Custom vehicle",OR($J53="Tonne Mile",$J53="Tonne Kilometer",$J53="Short Ton Kilometer",$J53="Short Ton Mile")),"Weight Distance (e.g. Freight Transport)",
AND($G53="Custom vehicle",OR($J53="Mile",$J53="Kilometer")),"Vehicle Distance (e.g. Road Transport)",
$G53&lt;&gt;"Custom vehicle",$G53),"")</f>
        <v>0</v>
      </c>
      <c r="DA53" s="27" t="str" cm="1">
        <f t="array" ref="DA53">IFERROR(_xlfn.IFS(OR(J53="Tonne Kilometer",J53="Tonne Mile",J53="Short Ton Mile",J53="Short Ton Kilometer"),I53*K53,OR(J53="Passenger Kilometer",J53="Passenger Mile"),I53*L53,OR(J53="Kilometer",J53="Mile"),$I53),"")</f>
        <v/>
      </c>
    </row>
    <row r="54" spans="2:105" ht="13.8" hidden="1" thickBot="1" x14ac:dyDescent="0.3">
      <c r="B54" s="10"/>
      <c r="C54" s="10"/>
      <c r="D54" s="10"/>
      <c r="E54" s="10"/>
      <c r="F54" s="10"/>
      <c r="G54" s="59"/>
      <c r="H54" s="59"/>
      <c r="N54"/>
      <c r="O54"/>
      <c r="P54" s="61"/>
      <c r="Q54" s="26"/>
      <c r="R54"/>
      <c r="S54"/>
      <c r="T54"/>
      <c r="U54" s="129">
        <f ca="1">SUM(U9:U53)</f>
        <v>0</v>
      </c>
      <c r="V54" s="129">
        <f ca="1">SUM(V9:V53)</f>
        <v>0</v>
      </c>
      <c r="W54"/>
      <c r="X54"/>
      <c r="Y54"/>
      <c r="Z54"/>
      <c r="AA54" s="24"/>
      <c r="AB54" s="24"/>
      <c r="AC54" s="24"/>
      <c r="AD54" s="24"/>
      <c r="AE54" s="24"/>
      <c r="AF54" s="24"/>
      <c r="AG54" s="24"/>
      <c r="AH54" s="24"/>
      <c r="AI54" s="24"/>
      <c r="AJ54" s="24"/>
      <c r="AK54" s="24"/>
      <c r="AL54" s="24"/>
      <c r="AM54" s="24"/>
      <c r="AN54" s="24"/>
      <c r="AO54" s="24"/>
      <c r="AP54" s="24"/>
      <c r="AQ54" s="24"/>
      <c r="AR54" s="24"/>
      <c r="AS54" s="24"/>
      <c r="AT54" s="24"/>
      <c r="AU54" s="24"/>
      <c r="AV54" s="24"/>
      <c r="AW54" s="24"/>
      <c r="AX54" s="24"/>
      <c r="AY54" s="162"/>
      <c r="AZ54" s="162"/>
      <c r="BA54" s="162">
        <f t="shared" ref="BA54:CF54" si="62">SUM(BA9:BA53)</f>
        <v>0</v>
      </c>
      <c r="BB54" s="162">
        <f t="shared" si="62"/>
        <v>0</v>
      </c>
      <c r="BC54" s="162">
        <f t="shared" si="62"/>
        <v>0</v>
      </c>
      <c r="BD54" s="162">
        <f t="shared" si="62"/>
        <v>0</v>
      </c>
      <c r="BE54" s="162">
        <f t="shared" si="62"/>
        <v>0</v>
      </c>
      <c r="BF54" s="162">
        <f t="shared" si="62"/>
        <v>0</v>
      </c>
      <c r="BG54" s="162">
        <f t="shared" si="62"/>
        <v>0</v>
      </c>
      <c r="BH54" s="162">
        <f t="shared" si="62"/>
        <v>0</v>
      </c>
      <c r="BI54" s="162">
        <f t="shared" si="62"/>
        <v>0</v>
      </c>
      <c r="BJ54" s="162">
        <f t="shared" si="62"/>
        <v>0</v>
      </c>
      <c r="BK54" s="162">
        <f t="shared" si="62"/>
        <v>0</v>
      </c>
      <c r="BL54" s="162">
        <f t="shared" si="62"/>
        <v>0</v>
      </c>
      <c r="BM54" s="162">
        <f t="shared" si="62"/>
        <v>0</v>
      </c>
      <c r="BN54" s="162">
        <f t="shared" ca="1" si="62"/>
        <v>0</v>
      </c>
      <c r="BO54" s="162">
        <f t="shared" si="62"/>
        <v>0</v>
      </c>
      <c r="BP54" s="162">
        <f t="shared" si="62"/>
        <v>0</v>
      </c>
      <c r="BQ54" s="162">
        <f t="shared" si="62"/>
        <v>0</v>
      </c>
      <c r="BR54" s="162">
        <f t="shared" si="62"/>
        <v>0</v>
      </c>
      <c r="BS54" s="162">
        <f t="shared" si="62"/>
        <v>0</v>
      </c>
      <c r="BT54" s="162">
        <f t="shared" si="62"/>
        <v>0</v>
      </c>
      <c r="BU54" s="162">
        <f t="shared" si="62"/>
        <v>0</v>
      </c>
      <c r="BV54" s="162">
        <f t="shared" si="62"/>
        <v>0</v>
      </c>
      <c r="BW54" s="162">
        <f t="shared" si="62"/>
        <v>0</v>
      </c>
      <c r="BX54" s="162">
        <f t="shared" si="62"/>
        <v>0</v>
      </c>
      <c r="BY54" s="162">
        <f t="shared" si="62"/>
        <v>0</v>
      </c>
      <c r="BZ54" s="162">
        <f t="shared" si="62"/>
        <v>0</v>
      </c>
      <c r="CA54" s="162">
        <f t="shared" si="62"/>
        <v>0</v>
      </c>
      <c r="CB54" s="162">
        <f t="shared" si="62"/>
        <v>0</v>
      </c>
      <c r="CC54" s="162">
        <f t="shared" si="62"/>
        <v>0</v>
      </c>
      <c r="CD54" s="162">
        <f t="shared" si="62"/>
        <v>0</v>
      </c>
      <c r="CE54" s="162">
        <f t="shared" si="62"/>
        <v>0</v>
      </c>
      <c r="CF54" s="162">
        <f t="shared" si="62"/>
        <v>0</v>
      </c>
      <c r="CG54" s="162">
        <f t="shared" ref="CG54:CW54" si="63">SUM(CG9:CG53)</f>
        <v>0</v>
      </c>
      <c r="CH54" s="162">
        <f t="shared" si="63"/>
        <v>0</v>
      </c>
      <c r="CI54" s="162">
        <f t="shared" si="63"/>
        <v>0</v>
      </c>
      <c r="CJ54" s="162">
        <f t="shared" si="63"/>
        <v>0</v>
      </c>
      <c r="CK54" s="162">
        <f t="shared" si="63"/>
        <v>0</v>
      </c>
      <c r="CL54" s="162">
        <f t="shared" si="63"/>
        <v>0</v>
      </c>
      <c r="CM54" s="162">
        <f t="shared" si="63"/>
        <v>0</v>
      </c>
      <c r="CN54" s="162">
        <f t="shared" si="63"/>
        <v>0</v>
      </c>
      <c r="CO54" s="162">
        <f t="shared" si="63"/>
        <v>0</v>
      </c>
      <c r="CP54" s="162">
        <f t="shared" si="63"/>
        <v>0</v>
      </c>
      <c r="CQ54" s="162">
        <f t="shared" si="63"/>
        <v>0</v>
      </c>
      <c r="CR54" s="162">
        <f t="shared" si="63"/>
        <v>0</v>
      </c>
      <c r="CS54" s="162">
        <f t="shared" si="63"/>
        <v>0</v>
      </c>
      <c r="CT54" s="162">
        <f t="shared" si="63"/>
        <v>0</v>
      </c>
      <c r="CU54" s="162">
        <f t="shared" si="63"/>
        <v>0</v>
      </c>
      <c r="CV54" s="162">
        <f t="shared" si="63"/>
        <v>0</v>
      </c>
      <c r="CW54" s="162">
        <f t="shared" si="63"/>
        <v>0</v>
      </c>
      <c r="CX54" s="162"/>
      <c r="CY54" s="10"/>
      <c r="CZ54" s="10"/>
      <c r="DA54" s="163" t="str" cm="1">
        <f t="array" ref="DA54">IFERROR(_xlfn.IFS(OR(#REF!="Tonne Kilometer",#REF!="Tonne Mile",#REF!="Short Ton Mile",#REF!="Short Ton Kilometer"),I54*K54,OR(#REF!="Passenger Kilometer",#REF!="Passenger Mile"),I54*L54,OR(#REF!="Kilometer",#REF!="Mile"),$I54),"")</f>
        <v/>
      </c>
    </row>
    <row r="55" spans="2:105" ht="33" customHeight="1" x14ac:dyDescent="0.25">
      <c r="B55" s="305" t="s">
        <v>142</v>
      </c>
      <c r="C55" s="305"/>
      <c r="D55" s="305"/>
      <c r="E55" s="305"/>
      <c r="F55" s="305"/>
      <c r="G55" s="305"/>
      <c r="H55" s="305"/>
      <c r="N55"/>
      <c r="O55" s="309" t="s">
        <v>591</v>
      </c>
      <c r="P55" s="270" t="s">
        <v>605</v>
      </c>
      <c r="Q55" s="270"/>
      <c r="R55" s="306">
        <f ca="1">Ref_Total_Emission</f>
        <v>0</v>
      </c>
      <c r="S55"/>
      <c r="T55"/>
      <c r="U55"/>
      <c r="W55"/>
      <c r="X55"/>
      <c r="Y55"/>
      <c r="Z55"/>
      <c r="BS55" s="9" t="str">
        <f>IF(AND($E55="Offroad",$F55="Scope 1"),#REF!,"")</f>
        <v/>
      </c>
      <c r="BX55" s="9" t="str">
        <f>IF(AND($E55="Offroad",$F55="Scope 1"),$S55,"")</f>
        <v/>
      </c>
      <c r="CC55" s="9" t="str">
        <f>IF(AND($E55="Offroad",$F55="Scope 1"),$T55,"")</f>
        <v/>
      </c>
      <c r="CH55" s="9" t="str">
        <f>IF(AND($E55="Offroad",$F55="Scope 3"),#REF!,"")</f>
        <v/>
      </c>
      <c r="CM55"/>
      <c r="CN55"/>
      <c r="CO55"/>
      <c r="CP55"/>
      <c r="CQ55"/>
      <c r="CR55"/>
      <c r="CS55"/>
      <c r="CT55"/>
      <c r="CU55"/>
      <c r="CV55"/>
      <c r="CW55"/>
      <c r="CX55"/>
      <c r="DA55"/>
    </row>
    <row r="56" spans="2:105" ht="26.25" customHeight="1" thickBot="1" x14ac:dyDescent="0.3">
      <c r="B56" s="80" t="s">
        <v>139</v>
      </c>
      <c r="C56" s="80"/>
      <c r="D56" s="80"/>
      <c r="E56" s="80"/>
      <c r="F56" s="80"/>
      <c r="G56" s="79"/>
      <c r="H56" s="79"/>
      <c r="N56"/>
      <c r="O56" s="310"/>
      <c r="P56" s="312"/>
      <c r="Q56" s="312"/>
      <c r="R56" s="307"/>
      <c r="S56"/>
      <c r="T56"/>
      <c r="U56"/>
      <c r="V56"/>
      <c r="W56"/>
      <c r="BS56" s="9" t="str">
        <f>IF(AND($E56="Offroad",$F56="Scope 1"),#REF!,"")</f>
        <v/>
      </c>
      <c r="BX56" s="9" t="str">
        <f>IF(AND($E56="Offroad",$F56="Scope 1"),$S56,"")</f>
        <v/>
      </c>
      <c r="CC56" s="9" t="str">
        <f>IF(AND($E56="Offroad",$F56="Scope 1"),$T56,"")</f>
        <v/>
      </c>
      <c r="CH56" s="9" t="str">
        <f>IF(AND($E56="Offroad",$F56="Scope 3"),#REF!,"")</f>
        <v/>
      </c>
      <c r="CM56"/>
      <c r="CN56"/>
      <c r="CO56"/>
      <c r="CP56"/>
      <c r="CQ56"/>
      <c r="CR56"/>
      <c r="CS56"/>
      <c r="CT56"/>
      <c r="CU56"/>
      <c r="CV56"/>
      <c r="CW56"/>
      <c r="CX56"/>
      <c r="DA56"/>
    </row>
    <row r="57" spans="2:105" ht="15" customHeight="1" x14ac:dyDescent="0.25">
      <c r="B57" s="80" t="s">
        <v>140</v>
      </c>
      <c r="C57" s="80"/>
      <c r="D57" s="80"/>
      <c r="E57" s="80"/>
      <c r="F57" s="80"/>
      <c r="G57" s="79"/>
      <c r="H57" s="79"/>
      <c r="O57" s="310"/>
      <c r="P57" s="313" t="s">
        <v>606</v>
      </c>
      <c r="Q57" s="313"/>
      <c r="R57" s="307">
        <f ca="1">Ref_Total_Emission_Biomass</f>
        <v>0</v>
      </c>
      <c r="S57"/>
      <c r="BS57" s="9" t="str">
        <f>IF(AND($E57="Offroad",$F57="Scope 1"),#REF!,"")</f>
        <v/>
      </c>
      <c r="BX57" s="9" t="str">
        <f>IF(AND($E57="Offroad",$F57="Scope 1"),$S57,"")</f>
        <v/>
      </c>
      <c r="CC57" s="9" t="str">
        <f>IF(AND($E57="Offroad",$F57="Scope 1"),$T57,"")</f>
        <v/>
      </c>
      <c r="CH57" s="9" t="str">
        <f>IF(AND($E57="Offroad",$F57="Scope 3"),#REF!,"")</f>
        <v/>
      </c>
      <c r="CM57"/>
      <c r="CN57"/>
      <c r="CO57"/>
      <c r="CP57"/>
      <c r="CQ57"/>
      <c r="CR57"/>
      <c r="CS57"/>
      <c r="CT57"/>
      <c r="CU57"/>
      <c r="CV57"/>
      <c r="CW57"/>
      <c r="CX57"/>
      <c r="DA57"/>
    </row>
    <row r="58" spans="2:105" ht="15.6" thickBot="1" x14ac:dyDescent="0.3">
      <c r="B58" s="80" t="s">
        <v>141</v>
      </c>
      <c r="C58" s="80"/>
      <c r="D58" s="80"/>
      <c r="E58" s="80"/>
      <c r="F58" s="80"/>
      <c r="G58" s="79"/>
      <c r="H58" s="79"/>
      <c r="O58" s="311"/>
      <c r="P58" s="312"/>
      <c r="Q58" s="312"/>
      <c r="R58" s="308"/>
      <c r="S58"/>
      <c r="BS58" s="9" t="str">
        <f>IF(AND($E58="Offroad",$F58="Scope 1"),#REF!,"")</f>
        <v/>
      </c>
      <c r="BX58" s="9" t="str">
        <f>IF(AND($E58="Offroad",$F58="Scope 1"),$S58,"")</f>
        <v/>
      </c>
      <c r="CC58" s="9" t="str">
        <f>IF(AND($E58="Offroad",$F58="Scope 1"),$T58,"")</f>
        <v/>
      </c>
      <c r="CH58" s="9" t="str">
        <f>IF(AND($E58="Offroad",$F58="Scope 3"),#REF!,"")</f>
        <v/>
      </c>
      <c r="CM58"/>
      <c r="CN58"/>
      <c r="CO58"/>
      <c r="CP58"/>
      <c r="CQ58"/>
      <c r="CR58"/>
      <c r="CS58"/>
      <c r="CT58"/>
      <c r="CU58"/>
      <c r="CV58"/>
      <c r="CW58"/>
      <c r="CX58"/>
      <c r="DA58"/>
    </row>
    <row r="59" spans="2:105" x14ac:dyDescent="0.25">
      <c r="S59"/>
      <c r="CM59"/>
      <c r="CN59"/>
      <c r="CO59"/>
      <c r="CP59"/>
      <c r="CQ59"/>
      <c r="CR59"/>
      <c r="CS59"/>
      <c r="CT59"/>
      <c r="CU59"/>
      <c r="CV59"/>
      <c r="CW59"/>
      <c r="CX59"/>
      <c r="DA59"/>
    </row>
    <row r="60" spans="2:105" x14ac:dyDescent="0.25">
      <c r="S60"/>
      <c r="CM60"/>
      <c r="CN60"/>
      <c r="CO60"/>
      <c r="CP60"/>
      <c r="CQ60"/>
      <c r="CR60"/>
      <c r="CS60"/>
      <c r="CT60"/>
      <c r="CU60"/>
      <c r="CV60"/>
      <c r="CW60"/>
      <c r="CX60"/>
      <c r="DA60"/>
    </row>
    <row r="61" spans="2:105" x14ac:dyDescent="0.25">
      <c r="S61"/>
      <c r="CM61"/>
      <c r="CN61"/>
      <c r="CO61"/>
      <c r="CP61"/>
      <c r="CQ61"/>
      <c r="CR61"/>
      <c r="CS61"/>
      <c r="CT61"/>
      <c r="CU61"/>
      <c r="CV61"/>
      <c r="CW61"/>
      <c r="CX61"/>
      <c r="DA61"/>
    </row>
    <row r="62" spans="2:105" x14ac:dyDescent="0.25">
      <c r="CM62"/>
      <c r="CN62"/>
      <c r="CO62"/>
      <c r="CP62"/>
      <c r="CQ62"/>
      <c r="CR62"/>
      <c r="CS62"/>
      <c r="CT62"/>
      <c r="CU62"/>
      <c r="CV62"/>
      <c r="CW62"/>
      <c r="CX62"/>
      <c r="DA62"/>
    </row>
    <row r="63" spans="2:105" x14ac:dyDescent="0.25">
      <c r="CM63"/>
      <c r="CN63"/>
      <c r="CO63"/>
      <c r="CP63"/>
      <c r="CQ63"/>
      <c r="CR63"/>
      <c r="CS63"/>
      <c r="CT63"/>
      <c r="CU63"/>
      <c r="CV63"/>
    </row>
  </sheetData>
  <sheetProtection algorithmName="SHA-512" hashValue="7PNA4HN0EdDHhzLCT6DUdhzIJdxoxOZ94kXYGeogQdPPYI6jc2An87qBP6PNu0AuNKKXpp/Q+NZ0o555jgst4w==" saltValue="9BCXS7+ptZMi+2uKDd5yNg==" spinCount="100000" sheet="1" objects="1" scenarios="1"/>
  <dataConsolidate/>
  <mergeCells count="18">
    <mergeCell ref="B55:H55"/>
    <mergeCell ref="R55:R56"/>
    <mergeCell ref="R57:R58"/>
    <mergeCell ref="O55:O58"/>
    <mergeCell ref="P55:Q56"/>
    <mergeCell ref="P57:Q58"/>
    <mergeCell ref="W6:Z7"/>
    <mergeCell ref="R6:V7"/>
    <mergeCell ref="H6:L6"/>
    <mergeCell ref="M6:O6"/>
    <mergeCell ref="B6:B7"/>
    <mergeCell ref="C6:C7"/>
    <mergeCell ref="E6:E7"/>
    <mergeCell ref="F6:F7"/>
    <mergeCell ref="P6:P8"/>
    <mergeCell ref="G6:G7"/>
    <mergeCell ref="D6:D7"/>
    <mergeCell ref="Q6:Q7"/>
  </mergeCells>
  <phoneticPr fontId="20" type="noConversion"/>
  <conditionalFormatting sqref="H9:H53">
    <cfRule type="expression" dxfId="16" priority="4">
      <formula>AND($C9="US",$E9="Road",$G9="Fuel Use")</formula>
    </cfRule>
    <cfRule type="expression" dxfId="15" priority="14">
      <formula>AND($D9="Other",OR($E9="Road",$E9="Water",$E9="Aircraft"),$G9="Fuel Use")</formula>
    </cfRule>
    <cfRule type="expression" dxfId="14" priority="18" stopIfTrue="1">
      <formula>AND($C9="UK",OR($F9="Scope 1",$F9="Scope 3"),$G9="Fuel Use")</formula>
    </cfRule>
    <cfRule type="expression" dxfId="13" priority="51" stopIfTrue="1">
      <formula>$G9="Custom Fuel"</formula>
    </cfRule>
  </conditionalFormatting>
  <conditionalFormatting sqref="H9:O53">
    <cfRule type="expression" dxfId="12" priority="17">
      <formula>$Q9="Sorry, no emission factors are found in this tool based on your selections."</formula>
    </cfRule>
  </conditionalFormatting>
  <conditionalFormatting sqref="I9:J17 I10:I25">
    <cfRule type="expression" dxfId="11" priority="12">
      <formula>$Q9="Sorry, no emission factors are found based on your selections."</formula>
    </cfRule>
  </conditionalFormatting>
  <conditionalFormatting sqref="I9:J53">
    <cfRule type="expression" dxfId="10" priority="45" stopIfTrue="1">
      <formula>OR($G9="Custom Fuel",$G9="Fuel Use")</formula>
    </cfRule>
  </conditionalFormatting>
  <conditionalFormatting sqref="K9:K53">
    <cfRule type="expression" dxfId="9" priority="98" stopIfTrue="1">
      <formula>$CZ9="Custom Fuel"</formula>
    </cfRule>
    <cfRule type="expression" dxfId="8" priority="99" stopIfTrue="1">
      <formula>AND($CZ9&lt;&gt;"Weight Distance (e.g. Freight Transport)",$G9&lt;&gt;0)</formula>
    </cfRule>
  </conditionalFormatting>
  <conditionalFormatting sqref="K11:K14">
    <cfRule type="expression" dxfId="7" priority="83">
      <formula>$Q11="Sorry, no emission factors are found based on your selections."</formula>
    </cfRule>
    <cfRule type="expression" dxfId="6" priority="84" stopIfTrue="1">
      <formula>OR($G11="Custom Fuel",$G11="Fuel Use")</formula>
    </cfRule>
  </conditionalFormatting>
  <conditionalFormatting sqref="L9:L53">
    <cfRule type="expression" dxfId="5" priority="55" stopIfTrue="1">
      <formula>AND($CZ9&lt;&gt;"Passenger Distance (e.g. Public Transport)",$CZ9&lt;&gt;0)</formula>
    </cfRule>
  </conditionalFormatting>
  <conditionalFormatting sqref="M9:O53">
    <cfRule type="expression" dxfId="4" priority="50" stopIfTrue="1">
      <formula>OR($G9="Weight Distance (e.g. Freight Transport)",$G9="Passenger Distance (e.g. Public Transport)",$G9="Custom Vehicle",$G9="Vehicle Distance (e.g. Road Transport)",$G9="Vehicle Distance (e.g. Public or Freight Transport)")</formula>
    </cfRule>
  </conditionalFormatting>
  <conditionalFormatting sqref="N19:N21">
    <cfRule type="expression" dxfId="3" priority="77" stopIfTrue="1">
      <formula>OR($G20="Weight Distance (e.g. Freight Transport)",$G20="Passenger Distance (e.g. Public Transport)",$G20="Custom Vehicle",$G20="Vehicle Distance (e.g. Road Transport)")</formula>
    </cfRule>
  </conditionalFormatting>
  <conditionalFormatting sqref="S58">
    <cfRule type="cellIs" dxfId="2" priority="3" stopIfTrue="1" operator="equal">
      <formula>"Error"</formula>
    </cfRule>
  </conditionalFormatting>
  <conditionalFormatting sqref="U53:Z53">
    <cfRule type="cellIs" dxfId="1" priority="1" stopIfTrue="1" operator="equal">
      <formula>"Error"</formula>
    </cfRule>
  </conditionalFormatting>
  <conditionalFormatting sqref="V9:Z52 R9:T53 AA9:AX54">
    <cfRule type="cellIs" dxfId="0" priority="23" stopIfTrue="1" operator="equal">
      <formula>"Error"</formula>
    </cfRule>
  </conditionalFormatting>
  <dataValidations count="8">
    <dataValidation type="decimal" operator="greaterThanOrEqual" allowBlank="1" showInputMessage="1" showErrorMessage="1" sqref="I9:I53 K9:L53 N9:N53" xr:uid="{00000000-0002-0000-0100-000008000000}">
      <formula1>0</formula1>
    </dataValidation>
    <dataValidation type="list" allowBlank="1" showInputMessage="1" showErrorMessage="1" sqref="F9:F53" xr:uid="{00000000-0002-0000-0100-000005000000}">
      <formula1>Ref_DD_Scope</formula1>
    </dataValidation>
    <dataValidation type="list" allowBlank="1" showInputMessage="1" showErrorMessage="1" sqref="D9:D53" xr:uid="{00000000-0002-0000-0100-000006000000}">
      <formula1>Ref_DD_Region</formula1>
    </dataValidation>
    <dataValidation type="list" showInputMessage="1" showErrorMessage="1" sqref="G9:G53" xr:uid="{00000000-0002-0000-0100-000000000000}">
      <formula1>INDIRECT(IF($F9="Scope 1","Ref_DD_1"&amp;"_"&amp;C9,"Ref_DD_3"&amp;"_"&amp;C9))</formula1>
    </dataValidation>
    <dataValidation type="list" allowBlank="1" showInputMessage="1" showErrorMessage="1" sqref="J9:J53" xr:uid="{00000000-0002-0000-0100-000002000000}">
      <formula1>INDIRECT($CX9)</formula1>
    </dataValidation>
    <dataValidation type="list" allowBlank="1" showInputMessage="1" showErrorMessage="1" sqref="E9:E53" xr:uid="{D5B7AB0B-9BF8-4381-A1AC-9DFBBEF901A8}">
      <formula1>INDIRECT("Ref_ModeTransport"&amp;"_"&amp;$C9)</formula1>
    </dataValidation>
    <dataValidation type="list" allowBlank="1" showInputMessage="1" showErrorMessage="1" sqref="M9:M53" xr:uid="{842867F5-3530-43EA-B02D-3628A5A73D34}">
      <formula1>IF($G9="Custom Fuel",INDIRECT("Settings_Custom_Fuels"),INDIRECT("Ref_DD_Fuels_"&amp;$C9))</formula1>
    </dataValidation>
    <dataValidation type="list" showInputMessage="1" showErrorMessage="1" sqref="H9:H53" xr:uid="{0AF32D15-2F4F-4A14-B638-8CCA0B1285C7}">
      <formula1>INDIRECT(IF($G9="Custom Vehicle","Settings_Custom_Vehicle",IF(AND($AZ9=TRUE),$AY9,"Ref_DD_NA")))</formula1>
    </dataValidation>
  </dataValidations>
  <pageMargins left="0.7" right="0.7" top="0.75" bottom="0.75" header="0.3" footer="0.3"/>
  <pageSetup paperSize="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32585D4-7BD7-4814-A203-3E3FF0BC4ECF}">
          <x14:formula1>
            <xm:f>IF(AND($C9="Other",OR($G9="Fuel Use",$G9="Fuel Use and Vehicle Distance")),'Reference - Lookup and Unit'!$A$20:$A$25,Ref_DD_Fuel_Units)</xm:f>
          </x14:formula1>
          <xm:sqref>O9:O53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E3DF5-AB43-465D-A367-E71D319EE7A1}">
  <sheetPr codeName="Sheet5">
    <tabColor rgb="FF00ACA2"/>
  </sheetPr>
  <dimension ref="B1:I90"/>
  <sheetViews>
    <sheetView showGridLines="0" showRowColHeaders="0" workbookViewId="0"/>
  </sheetViews>
  <sheetFormatPr defaultColWidth="9.109375" defaultRowHeight="13.2" x14ac:dyDescent="0.25"/>
  <cols>
    <col min="1" max="1" width="8.5546875" style="85" customWidth="1"/>
    <col min="2" max="2" width="38.33203125" style="181" customWidth="1"/>
    <col min="3" max="3" width="49.44140625" style="182" bestFit="1" customWidth="1"/>
    <col min="4" max="4" width="14.44140625" style="181" customWidth="1"/>
    <col min="5" max="5" width="12.33203125" style="181" customWidth="1"/>
    <col min="6" max="13" width="30.88671875" style="85" customWidth="1"/>
    <col min="14" max="16384" width="9.109375" style="85"/>
  </cols>
  <sheetData>
    <row r="1" spans="2:7" ht="34.5" customHeight="1" x14ac:dyDescent="0.25">
      <c r="E1" s="183"/>
    </row>
    <row r="2" spans="2:7" ht="34.5" customHeight="1" x14ac:dyDescent="0.25">
      <c r="B2" s="321" t="s">
        <v>735</v>
      </c>
      <c r="C2" s="322"/>
      <c r="D2" s="322"/>
      <c r="E2" s="183"/>
    </row>
    <row r="3" spans="2:7" ht="34.5" customHeight="1" x14ac:dyDescent="0.25">
      <c r="B3" s="322"/>
      <c r="C3" s="322"/>
      <c r="D3" s="322"/>
      <c r="E3" s="183"/>
    </row>
    <row r="4" spans="2:7" ht="15" customHeight="1" thickBot="1" x14ac:dyDescent="0.3">
      <c r="E4" s="183"/>
    </row>
    <row r="5" spans="2:7" ht="27" customHeight="1" x14ac:dyDescent="0.25">
      <c r="B5" s="323" t="s">
        <v>731</v>
      </c>
      <c r="C5" s="324"/>
      <c r="D5" s="324"/>
      <c r="E5" s="183"/>
    </row>
    <row r="6" spans="2:7" ht="13.8" thickBot="1" x14ac:dyDescent="0.3">
      <c r="B6" s="325"/>
      <c r="C6" s="326"/>
      <c r="D6" s="326"/>
      <c r="E6" s="183"/>
    </row>
    <row r="7" spans="2:7" ht="17.25" customHeight="1" thickBot="1" x14ac:dyDescent="0.3">
      <c r="B7" s="184"/>
      <c r="C7" s="185" t="s">
        <v>495</v>
      </c>
      <c r="D7" s="186" t="s">
        <v>496</v>
      </c>
      <c r="E7" s="187"/>
      <c r="F7" s="187"/>
    </row>
    <row r="8" spans="2:7" ht="25.5" customHeight="1" thickBot="1" x14ac:dyDescent="0.3">
      <c r="B8" s="188" t="s">
        <v>101</v>
      </c>
      <c r="C8" s="167"/>
      <c r="D8" s="189" t="s">
        <v>701</v>
      </c>
      <c r="E8" s="187"/>
      <c r="F8" s="187"/>
      <c r="G8" s="187"/>
    </row>
    <row r="9" spans="2:7" ht="25.5" customHeight="1" thickBot="1" x14ac:dyDescent="0.3">
      <c r="B9" s="190" t="s">
        <v>497</v>
      </c>
      <c r="C9" s="168"/>
      <c r="D9" s="189" t="s">
        <v>701</v>
      </c>
      <c r="E9" s="187"/>
      <c r="F9" s="187"/>
      <c r="G9" s="187"/>
    </row>
    <row r="10" spans="2:7" ht="25.5" customHeight="1" thickBot="1" x14ac:dyDescent="0.3">
      <c r="B10" s="191" t="s">
        <v>499</v>
      </c>
      <c r="C10" s="231" t="str">
        <f>IF(AND(D8="km", D9="km/L"), C8/C9,
IF(AND(D8="miles", D9="mpg"), C8/C9,
IF(AND(D8="km", D9="mpg"), (C8/1.609)/C9,
IF(AND(D8="miles", D9="km/L"), C8*1.609/C9,
IF(AND(D8="miles", D9="L/100 km"), (C8*1.609/100)*C9,
IF(AND(D8="km", D9="L/100 km"), (C8/100)*C9, ""))))))</f>
        <v/>
      </c>
      <c r="D10" s="232" t="str">
        <f>IF(D9="mpg","Gallons","Litres")</f>
        <v>Litres</v>
      </c>
      <c r="E10" s="187"/>
      <c r="F10" s="187"/>
      <c r="G10" s="187"/>
    </row>
    <row r="11" spans="2:7" ht="13.8" thickBot="1" x14ac:dyDescent="0.3">
      <c r="E11" s="187"/>
      <c r="F11" s="187"/>
      <c r="G11" s="187"/>
    </row>
    <row r="12" spans="2:7" ht="23.25" customHeight="1" x14ac:dyDescent="0.25">
      <c r="B12" s="323" t="s">
        <v>732</v>
      </c>
      <c r="C12" s="324"/>
      <c r="D12" s="324"/>
      <c r="E12" s="187"/>
      <c r="F12" s="187"/>
      <c r="G12" s="187"/>
    </row>
    <row r="13" spans="2:7" ht="21" customHeight="1" thickBot="1" x14ac:dyDescent="0.3">
      <c r="B13" s="325"/>
      <c r="C13" s="326"/>
      <c r="D13" s="326"/>
      <c r="E13" s="187"/>
      <c r="F13" s="187"/>
      <c r="G13" s="187"/>
    </row>
    <row r="14" spans="2:7" ht="17.25" customHeight="1" thickBot="1" x14ac:dyDescent="0.3">
      <c r="B14" s="184"/>
      <c r="C14" s="185" t="s">
        <v>495</v>
      </c>
      <c r="D14" s="186" t="s">
        <v>496</v>
      </c>
      <c r="E14" s="187"/>
      <c r="F14" s="187"/>
      <c r="G14" s="187"/>
    </row>
    <row r="15" spans="2:7" ht="24" customHeight="1" thickBot="1" x14ac:dyDescent="0.3">
      <c r="B15" s="188" t="s">
        <v>499</v>
      </c>
      <c r="C15" s="167"/>
      <c r="D15" s="192" t="s">
        <v>701</v>
      </c>
      <c r="E15" s="187"/>
      <c r="F15" s="187"/>
      <c r="G15" s="187"/>
    </row>
    <row r="16" spans="2:7" ht="24" customHeight="1" thickBot="1" x14ac:dyDescent="0.3">
      <c r="B16" s="190" t="s">
        <v>497</v>
      </c>
      <c r="C16" s="168"/>
      <c r="D16" s="189" t="s">
        <v>701</v>
      </c>
      <c r="E16" s="187"/>
      <c r="F16" s="187"/>
      <c r="G16" s="187"/>
    </row>
    <row r="17" spans="2:9" ht="24" customHeight="1" thickBot="1" x14ac:dyDescent="0.3">
      <c r="B17" s="191" t="s">
        <v>101</v>
      </c>
      <c r="C17" s="231" t="str">
        <f>IF(AND(D15="Liters", D16="km/L"), C15*C16,
IF(AND(D15="Gallons", D16="mpg"), C15*C16,
IF(AND(D15="Liters", D16="mpg"), C16*(C15/3.785),
IF(AND(D15="Gallons", D16="km/L"), C16*(C15/3.785),
IF(AND(D15="Liters", D16="L/100 km"), C15/C16*100,
IF(AND(D15="Gallons", D16="L/100 km"), (C15*3.785/C16)*100, ""))))))</f>
        <v/>
      </c>
      <c r="D17" s="232" t="str">
        <f>IF(D16="mpg","miles","km")</f>
        <v>km</v>
      </c>
      <c r="E17" s="187"/>
      <c r="F17" s="187"/>
      <c r="G17" s="187"/>
    </row>
    <row r="18" spans="2:9" ht="13.8" thickBot="1" x14ac:dyDescent="0.3">
      <c r="E18" s="187"/>
      <c r="F18" s="187"/>
      <c r="G18" s="187"/>
    </row>
    <row r="19" spans="2:9" ht="22.5" customHeight="1" thickBot="1" x14ac:dyDescent="0.3">
      <c r="B19" s="334" t="s">
        <v>512</v>
      </c>
      <c r="C19" s="335"/>
      <c r="D19" s="336"/>
      <c r="E19" s="187"/>
      <c r="F19" s="187"/>
      <c r="G19" s="187"/>
    </row>
    <row r="20" spans="2:9" ht="13.8" thickBot="1" x14ac:dyDescent="0.3">
      <c r="B20" s="327" t="s">
        <v>43</v>
      </c>
      <c r="C20" s="329" t="s">
        <v>501</v>
      </c>
      <c r="D20" s="330"/>
      <c r="E20" s="187"/>
      <c r="F20" s="187"/>
      <c r="G20" s="187"/>
    </row>
    <row r="21" spans="2:9" ht="13.8" thickBot="1" x14ac:dyDescent="0.3">
      <c r="B21" s="328"/>
      <c r="C21" s="193" t="s">
        <v>498</v>
      </c>
      <c r="D21" s="194" t="s">
        <v>500</v>
      </c>
      <c r="E21" s="187"/>
      <c r="F21" s="187"/>
      <c r="G21" s="187"/>
    </row>
    <row r="22" spans="2:9" x14ac:dyDescent="0.25">
      <c r="B22" s="195" t="s">
        <v>502</v>
      </c>
      <c r="C22" s="196">
        <v>24.4</v>
      </c>
      <c r="D22" s="213">
        <f>C22/2.352</f>
        <v>10.374149659863946</v>
      </c>
      <c r="E22" s="187"/>
      <c r="F22" s="187"/>
      <c r="G22" s="187"/>
    </row>
    <row r="23" spans="2:9" x14ac:dyDescent="0.25">
      <c r="B23" s="197" t="s">
        <v>503</v>
      </c>
      <c r="C23" s="196">
        <v>44</v>
      </c>
      <c r="D23" s="213">
        <f t="shared" ref="D23:D27" si="0">C23/2.352</f>
        <v>18.707482993197281</v>
      </c>
      <c r="E23" s="187"/>
      <c r="F23" s="187"/>
      <c r="G23" s="187"/>
    </row>
    <row r="24" spans="2:9" x14ac:dyDescent="0.25">
      <c r="B24" s="198" t="s">
        <v>504</v>
      </c>
      <c r="C24" s="199">
        <v>7.4</v>
      </c>
      <c r="D24" s="213">
        <f t="shared" si="0"/>
        <v>3.146258503401361</v>
      </c>
      <c r="E24" s="187"/>
      <c r="F24" s="187"/>
      <c r="G24" s="187"/>
    </row>
    <row r="25" spans="2:9" x14ac:dyDescent="0.25">
      <c r="B25" s="197" t="s">
        <v>505</v>
      </c>
      <c r="C25" s="196">
        <v>17.8</v>
      </c>
      <c r="D25" s="213">
        <f t="shared" si="0"/>
        <v>7.5680272108843543</v>
      </c>
      <c r="E25" s="187"/>
      <c r="F25" s="187"/>
      <c r="G25" s="187"/>
    </row>
    <row r="26" spans="2:9" x14ac:dyDescent="0.25">
      <c r="B26" s="197" t="s">
        <v>506</v>
      </c>
      <c r="C26" s="196">
        <v>7.7</v>
      </c>
      <c r="D26" s="213">
        <f t="shared" si="0"/>
        <v>3.2738095238095242</v>
      </c>
      <c r="E26" s="187"/>
      <c r="F26" s="187"/>
      <c r="G26" s="187"/>
    </row>
    <row r="27" spans="2:9" ht="13.8" thickBot="1" x14ac:dyDescent="0.3">
      <c r="B27" s="200" t="s">
        <v>507</v>
      </c>
      <c r="C27" s="201">
        <v>6.4</v>
      </c>
      <c r="D27" s="214">
        <f t="shared" si="0"/>
        <v>2.72108843537415</v>
      </c>
      <c r="E27" s="187"/>
      <c r="F27" s="187"/>
      <c r="G27" s="187"/>
      <c r="H27" s="202"/>
      <c r="I27" s="202"/>
    </row>
    <row r="28" spans="2:9" ht="13.8" thickBot="1" x14ac:dyDescent="0.3"/>
    <row r="29" spans="2:9" ht="22.5" customHeight="1" thickBot="1" x14ac:dyDescent="0.3">
      <c r="B29" s="331" t="s">
        <v>513</v>
      </c>
      <c r="C29" s="332"/>
      <c r="D29" s="332"/>
      <c r="E29" s="333"/>
    </row>
    <row r="30" spans="2:9" ht="30.75" customHeight="1" thickBot="1" x14ac:dyDescent="0.3">
      <c r="B30" s="337" t="s">
        <v>515</v>
      </c>
      <c r="C30" s="339" t="s">
        <v>39</v>
      </c>
      <c r="D30" s="314" t="s">
        <v>514</v>
      </c>
      <c r="E30" s="315"/>
    </row>
    <row r="31" spans="2:9" ht="13.8" thickBot="1" x14ac:dyDescent="0.3">
      <c r="B31" s="338"/>
      <c r="C31" s="340"/>
      <c r="D31" s="204" t="s">
        <v>498</v>
      </c>
      <c r="E31" s="203" t="s">
        <v>500</v>
      </c>
    </row>
    <row r="32" spans="2:9" x14ac:dyDescent="0.25">
      <c r="B32" s="316" t="s">
        <v>168</v>
      </c>
      <c r="C32" s="205" t="s">
        <v>372</v>
      </c>
      <c r="D32" s="215">
        <f>E32*2.352</f>
        <v>39.124912360833626</v>
      </c>
      <c r="E32" s="206">
        <v>16.634741650014298</v>
      </c>
    </row>
    <row r="33" spans="2:5" x14ac:dyDescent="0.25">
      <c r="B33" s="317"/>
      <c r="C33" s="207" t="s">
        <v>373</v>
      </c>
      <c r="D33" s="216">
        <f t="shared" ref="D33:D84" si="1">E33*2.352</f>
        <v>30.883796518505996</v>
      </c>
      <c r="E33" s="208">
        <v>13.130865866711734</v>
      </c>
    </row>
    <row r="34" spans="2:5" x14ac:dyDescent="0.25">
      <c r="B34" s="317"/>
      <c r="C34" s="207" t="s">
        <v>374</v>
      </c>
      <c r="D34" s="216">
        <f t="shared" si="1"/>
        <v>20.187740167918687</v>
      </c>
      <c r="E34" s="208">
        <v>8.5832228605096468</v>
      </c>
    </row>
    <row r="35" spans="2:5" ht="13.8" thickBot="1" x14ac:dyDescent="0.3">
      <c r="B35" s="318"/>
      <c r="C35" s="209" t="s">
        <v>375</v>
      </c>
      <c r="D35" s="216">
        <f t="shared" si="1"/>
        <v>33.585632052931444</v>
      </c>
      <c r="E35" s="208">
        <v>14.279605464681737</v>
      </c>
    </row>
    <row r="36" spans="2:5" x14ac:dyDescent="0.25">
      <c r="B36" s="316" t="s">
        <v>166</v>
      </c>
      <c r="C36" s="205" t="s">
        <v>376</v>
      </c>
      <c r="D36" s="216">
        <f t="shared" si="1"/>
        <v>44.876494950228874</v>
      </c>
      <c r="E36" s="208">
        <v>19.080142410811597</v>
      </c>
    </row>
    <row r="37" spans="2:5" x14ac:dyDescent="0.25">
      <c r="B37" s="317"/>
      <c r="C37" s="207" t="s">
        <v>377</v>
      </c>
      <c r="D37" s="216">
        <f t="shared" si="1"/>
        <v>37.323857868020305</v>
      </c>
      <c r="E37" s="208">
        <v>15.868987188784144</v>
      </c>
    </row>
    <row r="38" spans="2:5" x14ac:dyDescent="0.25">
      <c r="B38" s="317"/>
      <c r="C38" s="207" t="s">
        <v>374</v>
      </c>
      <c r="D38" s="216">
        <f t="shared" si="1"/>
        <v>29.850427722198056</v>
      </c>
      <c r="E38" s="208">
        <v>12.691508385288289</v>
      </c>
    </row>
    <row r="39" spans="2:5" ht="13.8" thickBot="1" x14ac:dyDescent="0.3">
      <c r="B39" s="318"/>
      <c r="C39" s="209" t="s">
        <v>375</v>
      </c>
      <c r="D39" s="216">
        <f t="shared" si="1"/>
        <v>36.731204281891166</v>
      </c>
      <c r="E39" s="208">
        <v>15.617008623253048</v>
      </c>
    </row>
    <row r="40" spans="2:5" x14ac:dyDescent="0.25">
      <c r="B40" s="316" t="s">
        <v>371</v>
      </c>
      <c r="C40" s="205" t="s">
        <v>372</v>
      </c>
      <c r="D40" s="216">
        <f t="shared" si="1"/>
        <v>54.554510100507507</v>
      </c>
      <c r="E40" s="208">
        <v>23.194944770623941</v>
      </c>
    </row>
    <row r="41" spans="2:5" x14ac:dyDescent="0.25">
      <c r="B41" s="317"/>
      <c r="C41" s="207" t="s">
        <v>373</v>
      </c>
      <c r="D41" s="216">
        <f t="shared" si="1"/>
        <v>50.840978577390331</v>
      </c>
      <c r="E41" s="208">
        <v>21.616062320319021</v>
      </c>
    </row>
    <row r="42" spans="2:5" x14ac:dyDescent="0.25">
      <c r="B42" s="317"/>
      <c r="C42" s="207" t="s">
        <v>374</v>
      </c>
      <c r="D42" s="216">
        <f t="shared" si="1"/>
        <v>36.303441626382352</v>
      </c>
      <c r="E42" s="208">
        <v>15.435136745910865</v>
      </c>
    </row>
    <row r="43" spans="2:5" ht="13.8" thickBot="1" x14ac:dyDescent="0.3">
      <c r="B43" s="318"/>
      <c r="C43" s="209" t="s">
        <v>375</v>
      </c>
      <c r="D43" s="216">
        <f t="shared" si="1"/>
        <v>46.534103386809264</v>
      </c>
      <c r="E43" s="208">
        <v>19.784907902554959</v>
      </c>
    </row>
    <row r="44" spans="2:5" x14ac:dyDescent="0.25">
      <c r="B44" s="316" t="s">
        <v>157</v>
      </c>
      <c r="C44" s="205" t="s">
        <v>373</v>
      </c>
      <c r="D44" s="216">
        <f t="shared" si="1"/>
        <v>38.366057875315597</v>
      </c>
      <c r="E44" s="208">
        <v>16.312099436783843</v>
      </c>
    </row>
    <row r="45" spans="2:5" x14ac:dyDescent="0.25">
      <c r="B45" s="317"/>
      <c r="C45" s="207" t="s">
        <v>374</v>
      </c>
      <c r="D45" s="216">
        <f t="shared" si="1"/>
        <v>25.077881516587677</v>
      </c>
      <c r="E45" s="208">
        <v>10.662364590385918</v>
      </c>
    </row>
    <row r="46" spans="2:5" ht="13.8" thickBot="1" x14ac:dyDescent="0.3">
      <c r="B46" s="318"/>
      <c r="C46" s="209" t="s">
        <v>375</v>
      </c>
      <c r="D46" s="216">
        <f t="shared" si="1"/>
        <v>34.274506737609158</v>
      </c>
      <c r="E46" s="208">
        <v>14.572494361228383</v>
      </c>
    </row>
    <row r="47" spans="2:5" x14ac:dyDescent="0.25">
      <c r="B47" s="316" t="s">
        <v>156</v>
      </c>
      <c r="C47" s="205" t="s">
        <v>373</v>
      </c>
      <c r="D47" s="216">
        <f t="shared" si="1"/>
        <v>42.348319043552515</v>
      </c>
      <c r="E47" s="208">
        <v>18.005237688585254</v>
      </c>
    </row>
    <row r="48" spans="2:5" x14ac:dyDescent="0.25">
      <c r="B48" s="317"/>
      <c r="C48" s="207" t="s">
        <v>374</v>
      </c>
      <c r="D48" s="216">
        <f t="shared" si="1"/>
        <v>27.681163441500445</v>
      </c>
      <c r="E48" s="208">
        <v>11.769202143495088</v>
      </c>
    </row>
    <row r="49" spans="2:5" ht="13.8" thickBot="1" x14ac:dyDescent="0.3">
      <c r="B49" s="318"/>
      <c r="C49" s="209" t="s">
        <v>375</v>
      </c>
      <c r="D49" s="216">
        <f t="shared" si="1"/>
        <v>37.831768080561488</v>
      </c>
      <c r="E49" s="208">
        <v>16.084935408401993</v>
      </c>
    </row>
    <row r="50" spans="2:5" x14ac:dyDescent="0.25">
      <c r="B50" s="316" t="s">
        <v>168</v>
      </c>
      <c r="C50" s="205" t="s">
        <v>378</v>
      </c>
      <c r="D50" s="216">
        <f t="shared" si="1"/>
        <v>30.209856835840633</v>
      </c>
      <c r="E50" s="208">
        <v>12.844326885986664</v>
      </c>
    </row>
    <row r="51" spans="2:5" x14ac:dyDescent="0.25">
      <c r="B51" s="317"/>
      <c r="C51" s="207" t="s">
        <v>379</v>
      </c>
      <c r="D51" s="216">
        <f t="shared" si="1"/>
        <v>28.079198524892441</v>
      </c>
      <c r="E51" s="208">
        <v>11.938434746978078</v>
      </c>
    </row>
    <row r="52" spans="2:5" x14ac:dyDescent="0.25">
      <c r="B52" s="317"/>
      <c r="C52" s="207" t="s">
        <v>380</v>
      </c>
      <c r="D52" s="216">
        <f t="shared" si="1"/>
        <v>17.473649263721551</v>
      </c>
      <c r="E52" s="208">
        <v>7.4292726461401157</v>
      </c>
    </row>
    <row r="53" spans="2:5" ht="13.8" thickBot="1" x14ac:dyDescent="0.3">
      <c r="B53" s="318"/>
      <c r="C53" s="209" t="s">
        <v>381</v>
      </c>
      <c r="D53" s="216">
        <f t="shared" si="1"/>
        <v>27.326202372644797</v>
      </c>
      <c r="E53" s="208">
        <v>11.618283321702721</v>
      </c>
    </row>
    <row r="54" spans="2:5" ht="13.8" thickBot="1" x14ac:dyDescent="0.3">
      <c r="B54" s="210" t="s">
        <v>166</v>
      </c>
      <c r="C54" s="205" t="s">
        <v>381</v>
      </c>
      <c r="D54" s="216">
        <f t="shared" si="1"/>
        <v>26.896973391978396</v>
      </c>
      <c r="E54" s="208">
        <v>11.435788006793537</v>
      </c>
    </row>
    <row r="55" spans="2:5" ht="13.8" thickBot="1" x14ac:dyDescent="0.3">
      <c r="B55" s="210" t="s">
        <v>156</v>
      </c>
      <c r="C55" s="207" t="s">
        <v>381</v>
      </c>
      <c r="D55" s="216">
        <f t="shared" si="1"/>
        <v>29.227828055009823</v>
      </c>
      <c r="E55" s="208">
        <v>12.426797642436149</v>
      </c>
    </row>
    <row r="56" spans="2:5" ht="13.8" thickBot="1" x14ac:dyDescent="0.3">
      <c r="B56" s="210" t="s">
        <v>157</v>
      </c>
      <c r="C56" s="207" t="s">
        <v>381</v>
      </c>
      <c r="D56" s="216">
        <f t="shared" si="1"/>
        <v>25.736765362400661</v>
      </c>
      <c r="E56" s="208">
        <v>10.942502279932254</v>
      </c>
    </row>
    <row r="57" spans="2:5" ht="27" thickBot="1" x14ac:dyDescent="0.3">
      <c r="B57" s="211" t="s">
        <v>168</v>
      </c>
      <c r="C57" s="209" t="s">
        <v>381</v>
      </c>
      <c r="D57" s="216">
        <f t="shared" si="1"/>
        <v>23.966873830549972</v>
      </c>
      <c r="E57" s="208">
        <v>10.189997376934512</v>
      </c>
    </row>
    <row r="58" spans="2:5" x14ac:dyDescent="0.25">
      <c r="B58" s="316" t="s">
        <v>168</v>
      </c>
      <c r="C58" s="205" t="s">
        <v>382</v>
      </c>
      <c r="D58" s="216">
        <f t="shared" si="1"/>
        <v>67.731439584877691</v>
      </c>
      <c r="E58" s="208">
        <v>28.797380775883372</v>
      </c>
    </row>
    <row r="59" spans="2:5" x14ac:dyDescent="0.25">
      <c r="B59" s="317"/>
      <c r="C59" s="207" t="s">
        <v>383</v>
      </c>
      <c r="D59" s="216">
        <f t="shared" si="1"/>
        <v>55.792618766537757</v>
      </c>
      <c r="E59" s="208">
        <v>23.721351516385102</v>
      </c>
    </row>
    <row r="60" spans="2:5" x14ac:dyDescent="0.25">
      <c r="B60" s="317"/>
      <c r="C60" s="207" t="s">
        <v>384</v>
      </c>
      <c r="D60" s="216">
        <f t="shared" si="1"/>
        <v>41.938362301101591</v>
      </c>
      <c r="E60" s="208">
        <v>17.83093635250918</v>
      </c>
    </row>
    <row r="61" spans="2:5" ht="13.8" thickBot="1" x14ac:dyDescent="0.3">
      <c r="B61" s="318"/>
      <c r="C61" s="209" t="s">
        <v>385</v>
      </c>
      <c r="D61" s="216">
        <f t="shared" si="1"/>
        <v>49.22053079547495</v>
      </c>
      <c r="E61" s="208">
        <v>20.927096426647513</v>
      </c>
    </row>
    <row r="62" spans="2:5" x14ac:dyDescent="0.25">
      <c r="B62" s="316" t="s">
        <v>166</v>
      </c>
      <c r="C62" s="205" t="s">
        <v>386</v>
      </c>
      <c r="D62" s="216">
        <f t="shared" si="1"/>
        <v>13.824146112180491</v>
      </c>
      <c r="E62" s="208">
        <v>5.8776131429338827</v>
      </c>
    </row>
    <row r="63" spans="2:5" x14ac:dyDescent="0.25">
      <c r="B63" s="317"/>
      <c r="C63" s="207" t="s">
        <v>387</v>
      </c>
      <c r="D63" s="216">
        <f t="shared" si="1"/>
        <v>12.718225809772871</v>
      </c>
      <c r="E63" s="208">
        <v>5.4074089327265611</v>
      </c>
    </row>
    <row r="64" spans="2:5" x14ac:dyDescent="0.25">
      <c r="B64" s="317"/>
      <c r="C64" s="207" t="s">
        <v>388</v>
      </c>
      <c r="D64" s="216">
        <f t="shared" si="1"/>
        <v>11.77614399023795</v>
      </c>
      <c r="E64" s="208">
        <v>5.0068639414277003</v>
      </c>
    </row>
    <row r="65" spans="2:5" x14ac:dyDescent="0.25">
      <c r="B65" s="317"/>
      <c r="C65" s="207" t="s">
        <v>389</v>
      </c>
      <c r="D65" s="216">
        <f t="shared" si="1"/>
        <v>12.862308669484992</v>
      </c>
      <c r="E65" s="208">
        <v>5.4686686519919192</v>
      </c>
    </row>
    <row r="66" spans="2:5" x14ac:dyDescent="0.25">
      <c r="B66" s="317"/>
      <c r="C66" s="207" t="s">
        <v>390</v>
      </c>
      <c r="D66" s="216">
        <f t="shared" si="1"/>
        <v>11.560573503537602</v>
      </c>
      <c r="E66" s="208">
        <v>4.9152098229326544</v>
      </c>
    </row>
    <row r="67" spans="2:5" x14ac:dyDescent="0.25">
      <c r="B67" s="317"/>
      <c r="C67" s="207" t="s">
        <v>391</v>
      </c>
      <c r="D67" s="216">
        <f t="shared" si="1"/>
        <v>10.115549149988535</v>
      </c>
      <c r="E67" s="208">
        <v>4.3008287202332207</v>
      </c>
    </row>
    <row r="68" spans="2:5" x14ac:dyDescent="0.25">
      <c r="B68" s="317"/>
      <c r="C68" s="207" t="s">
        <v>392</v>
      </c>
      <c r="D68" s="216">
        <f t="shared" si="1"/>
        <v>8.9916319697190268</v>
      </c>
      <c r="E68" s="208">
        <v>3.822972776241083</v>
      </c>
    </row>
    <row r="69" spans="2:5" x14ac:dyDescent="0.25">
      <c r="B69" s="317"/>
      <c r="C69" s="207" t="s">
        <v>393</v>
      </c>
      <c r="D69" s="216">
        <f t="shared" si="1"/>
        <v>10.537152605988227</v>
      </c>
      <c r="E69" s="208">
        <v>4.4800818903011175</v>
      </c>
    </row>
    <row r="70" spans="2:5" x14ac:dyDescent="0.25">
      <c r="B70" s="317"/>
      <c r="C70" s="207" t="s">
        <v>394</v>
      </c>
      <c r="D70" s="216">
        <f t="shared" si="1"/>
        <v>8.392010652463382</v>
      </c>
      <c r="E70" s="208">
        <v>3.5680317399929349</v>
      </c>
    </row>
    <row r="71" spans="2:5" x14ac:dyDescent="0.25">
      <c r="B71" s="317"/>
      <c r="C71" s="207" t="s">
        <v>395</v>
      </c>
      <c r="D71" s="216">
        <f t="shared" si="1"/>
        <v>6.8814225549836205</v>
      </c>
      <c r="E71" s="208">
        <v>2.9257748958263696</v>
      </c>
    </row>
    <row r="72" spans="2:5" x14ac:dyDescent="0.25">
      <c r="B72" s="317"/>
      <c r="C72" s="207" t="s">
        <v>396</v>
      </c>
      <c r="D72" s="216">
        <f t="shared" si="1"/>
        <v>5.8317536753250421</v>
      </c>
      <c r="E72" s="208">
        <v>2.4794871068558852</v>
      </c>
    </row>
    <row r="73" spans="2:5" x14ac:dyDescent="0.25">
      <c r="B73" s="317"/>
      <c r="C73" s="207" t="s">
        <v>397</v>
      </c>
      <c r="D73" s="216">
        <f t="shared" si="1"/>
        <v>6.4100628930817605</v>
      </c>
      <c r="E73" s="208">
        <v>2.7253668763102725</v>
      </c>
    </row>
    <row r="74" spans="2:5" x14ac:dyDescent="0.25">
      <c r="B74" s="317"/>
      <c r="C74" s="207" t="s">
        <v>398</v>
      </c>
      <c r="D74" s="216">
        <f t="shared" si="1"/>
        <v>7.5870967741935482</v>
      </c>
      <c r="E74" s="208">
        <v>3.2258064516129035</v>
      </c>
    </row>
    <row r="75" spans="2:5" x14ac:dyDescent="0.25">
      <c r="B75" s="317"/>
      <c r="C75" s="207" t="s">
        <v>399</v>
      </c>
      <c r="D75" s="216">
        <f t="shared" si="1"/>
        <v>10.235746838799487</v>
      </c>
      <c r="E75" s="208">
        <v>4.3519331797616871</v>
      </c>
    </row>
    <row r="76" spans="2:5" x14ac:dyDescent="0.25">
      <c r="B76" s="317"/>
      <c r="C76" s="207" t="s">
        <v>400</v>
      </c>
      <c r="D76" s="216">
        <f t="shared" si="1"/>
        <v>8.1886246122026876</v>
      </c>
      <c r="E76" s="208">
        <v>3.4815580834195101</v>
      </c>
    </row>
    <row r="77" spans="2:5" x14ac:dyDescent="0.25">
      <c r="B77" s="317"/>
      <c r="C77" s="207" t="s">
        <v>401</v>
      </c>
      <c r="D77" s="216">
        <f t="shared" si="1"/>
        <v>6.8237935301396488</v>
      </c>
      <c r="E77" s="208">
        <v>2.901272759413116</v>
      </c>
    </row>
    <row r="78" spans="2:5" x14ac:dyDescent="0.25">
      <c r="B78" s="317"/>
      <c r="C78" s="207" t="s">
        <v>402</v>
      </c>
      <c r="D78" s="216">
        <f t="shared" si="1"/>
        <v>8.1886246122026876</v>
      </c>
      <c r="E78" s="208">
        <v>3.4815580834195101</v>
      </c>
    </row>
    <row r="79" spans="2:5" x14ac:dyDescent="0.25">
      <c r="B79" s="317"/>
      <c r="C79" s="207" t="s">
        <v>403</v>
      </c>
      <c r="D79" s="216">
        <f t="shared" si="1"/>
        <v>9.9944205314087817</v>
      </c>
      <c r="E79" s="208">
        <v>4.2493284572316252</v>
      </c>
    </row>
    <row r="80" spans="2:5" x14ac:dyDescent="0.25">
      <c r="B80" s="317"/>
      <c r="C80" s="207" t="s">
        <v>404</v>
      </c>
      <c r="D80" s="216">
        <f t="shared" si="1"/>
        <v>7.4958457225384416</v>
      </c>
      <c r="E80" s="208">
        <v>3.187009235773147</v>
      </c>
    </row>
    <row r="81" spans="2:5" x14ac:dyDescent="0.25">
      <c r="B81" s="317"/>
      <c r="C81" s="207" t="s">
        <v>405</v>
      </c>
      <c r="D81" s="216">
        <f t="shared" si="1"/>
        <v>5.9966911336362569</v>
      </c>
      <c r="E81" s="208">
        <v>2.5496135772263</v>
      </c>
    </row>
    <row r="82" spans="2:5" x14ac:dyDescent="0.25">
      <c r="B82" s="317"/>
      <c r="C82" s="207" t="s">
        <v>406</v>
      </c>
      <c r="D82" s="216">
        <f t="shared" si="1"/>
        <v>6.8769020075044809</v>
      </c>
      <c r="E82" s="208">
        <v>2.9238528943471436</v>
      </c>
    </row>
    <row r="83" spans="2:5" x14ac:dyDescent="0.25">
      <c r="B83" s="317"/>
      <c r="C83" s="207" t="s">
        <v>407</v>
      </c>
      <c r="D83" s="216">
        <f t="shared" si="1"/>
        <v>6.9240838107196101</v>
      </c>
      <c r="E83" s="208">
        <v>2.9439131848297664</v>
      </c>
    </row>
    <row r="84" spans="2:5" ht="13.8" thickBot="1" x14ac:dyDescent="0.3">
      <c r="B84" s="318"/>
      <c r="C84" s="209" t="s">
        <v>408</v>
      </c>
      <c r="D84" s="217">
        <f t="shared" si="1"/>
        <v>7.1823057422610876</v>
      </c>
      <c r="E84" s="212">
        <v>3.0537014210293743</v>
      </c>
    </row>
    <row r="85" spans="2:5" x14ac:dyDescent="0.25">
      <c r="B85" s="319" t="s">
        <v>719</v>
      </c>
      <c r="C85" s="319"/>
      <c r="D85" s="319"/>
      <c r="E85" s="319"/>
    </row>
    <row r="86" spans="2:5" x14ac:dyDescent="0.25">
      <c r="B86" s="320"/>
      <c r="C86" s="320"/>
      <c r="D86" s="320"/>
      <c r="E86" s="320"/>
    </row>
    <row r="87" spans="2:5" x14ac:dyDescent="0.25">
      <c r="B87" s="320"/>
      <c r="C87" s="320"/>
      <c r="D87" s="320"/>
      <c r="E87" s="320"/>
    </row>
    <row r="88" spans="2:5" x14ac:dyDescent="0.25">
      <c r="B88" s="320"/>
      <c r="C88" s="320"/>
      <c r="D88" s="320"/>
      <c r="E88" s="320"/>
    </row>
    <row r="89" spans="2:5" x14ac:dyDescent="0.25">
      <c r="B89" s="320"/>
      <c r="C89" s="320"/>
      <c r="D89" s="320"/>
      <c r="E89" s="320"/>
    </row>
    <row r="90" spans="2:5" x14ac:dyDescent="0.25">
      <c r="B90" s="320"/>
      <c r="C90" s="320"/>
      <c r="D90" s="320"/>
      <c r="E90" s="320"/>
    </row>
  </sheetData>
  <sheetProtection algorithmName="SHA-512" hashValue="y975enezZkgmgWMCMMP75VeArtJZiGWPbkOPSexupyvDS+5dazLz4M1++bsbTR23imzo/rLUOdgcNjOtDVxbrQ==" saltValue="X1v+XFjLFDPE7VcqfnaXPw==" spinCount="100000" sheet="1" objects="1" scenarios="1"/>
  <mergeCells count="19">
    <mergeCell ref="B58:B61"/>
    <mergeCell ref="B30:B31"/>
    <mergeCell ref="C30:C31"/>
    <mergeCell ref="D30:E30"/>
    <mergeCell ref="B32:B35"/>
    <mergeCell ref="B36:B39"/>
    <mergeCell ref="B85:E90"/>
    <mergeCell ref="B2:D3"/>
    <mergeCell ref="B40:B43"/>
    <mergeCell ref="B44:B46"/>
    <mergeCell ref="B47:B49"/>
    <mergeCell ref="B50:B53"/>
    <mergeCell ref="B5:D6"/>
    <mergeCell ref="B20:B21"/>
    <mergeCell ref="C20:D20"/>
    <mergeCell ref="B29:E29"/>
    <mergeCell ref="B19:D19"/>
    <mergeCell ref="B12:D13"/>
    <mergeCell ref="B62:B84"/>
  </mergeCells>
  <dataValidations count="3">
    <dataValidation type="list" allowBlank="1" showInputMessage="1" showErrorMessage="1" sqref="D15" xr:uid="{D289ED05-A2DE-4C17-90E4-4C75A2E8BED9}">
      <formula1>"Select:, Liters,Gallons"</formula1>
    </dataValidation>
    <dataValidation type="list" allowBlank="1" showInputMessage="1" showErrorMessage="1" sqref="D16 D9" xr:uid="{FDAEFD4B-ABF9-4D3E-82C4-631BBAE71C68}">
      <formula1>"Select:,mpg,km/L,L/100 km"</formula1>
    </dataValidation>
    <dataValidation type="list" allowBlank="1" showInputMessage="1" showErrorMessage="1" sqref="D8" xr:uid="{FC767524-ABDE-4402-BD87-3AB141DF8D0A}">
      <formula1>"Select:,km,miles"</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rgb="FF00ACA2"/>
  </sheetPr>
  <dimension ref="B2:L66"/>
  <sheetViews>
    <sheetView showGridLines="0" showRowColHeaders="0" workbookViewId="0"/>
  </sheetViews>
  <sheetFormatPr defaultColWidth="42.44140625" defaultRowHeight="13.2" x14ac:dyDescent="0.25"/>
  <cols>
    <col min="1" max="1" width="8.5546875" customWidth="1"/>
    <col min="2" max="2" width="26.6640625" customWidth="1"/>
    <col min="3" max="3" width="18.44140625" customWidth="1"/>
    <col min="4" max="4" width="18.5546875" customWidth="1"/>
    <col min="5" max="5" width="14.33203125" customWidth="1"/>
    <col min="6" max="6" width="24.88671875" bestFit="1" customWidth="1"/>
    <col min="7" max="7" width="24.33203125" customWidth="1"/>
    <col min="8" max="12" width="42.44140625" hidden="1" customWidth="1"/>
  </cols>
  <sheetData>
    <row r="2" spans="2:2" ht="14.25" customHeight="1" x14ac:dyDescent="0.25"/>
    <row r="4" spans="2:2" ht="17.399999999999999" x14ac:dyDescent="0.25">
      <c r="B4" s="36" t="s">
        <v>94</v>
      </c>
    </row>
    <row r="21" spans="2:10" ht="13.8" thickBot="1" x14ac:dyDescent="0.3"/>
    <row r="22" spans="2:10" s="12" customFormat="1" ht="27" customHeight="1" thickBot="1" x14ac:dyDescent="0.3">
      <c r="B22" s="370" t="s">
        <v>124</v>
      </c>
      <c r="C22" s="372" t="s">
        <v>149</v>
      </c>
      <c r="D22" s="348" t="s">
        <v>96</v>
      </c>
      <c r="E22" s="350"/>
      <c r="F22" s="364" t="s">
        <v>607</v>
      </c>
    </row>
    <row r="23" spans="2:10" s="12" customFormat="1" ht="27" customHeight="1" thickBot="1" x14ac:dyDescent="0.3">
      <c r="B23" s="371"/>
      <c r="C23" s="373"/>
      <c r="D23" s="234" t="s">
        <v>714</v>
      </c>
      <c r="E23" s="235" t="s">
        <v>715</v>
      </c>
      <c r="F23" s="365"/>
      <c r="H23" s="15" t="str">
        <f>D23</f>
        <v>Scope 1
(metric tonnes)</v>
      </c>
      <c r="I23" s="11" t="str">
        <f>E23</f>
        <v>Scope 3
(metric tonnes)</v>
      </c>
      <c r="J23" s="16" t="str">
        <f>F22</f>
        <v>Biofuel CO2 Emission
(metric tonnes)</v>
      </c>
    </row>
    <row r="24" spans="2:10" ht="18" customHeight="1" x14ac:dyDescent="0.25">
      <c r="B24" s="374" t="s">
        <v>80</v>
      </c>
      <c r="C24" s="228" t="s">
        <v>595</v>
      </c>
      <c r="D24" s="221">
        <f>'3. Calculator'!BA54</f>
        <v>0</v>
      </c>
      <c r="E24" s="221">
        <f>'3. Calculator'!BG54</f>
        <v>0</v>
      </c>
      <c r="F24" s="366">
        <f>'3. Calculator'!BM54</f>
        <v>0</v>
      </c>
      <c r="H24" s="21">
        <f ca="1">D30</f>
        <v>0</v>
      </c>
      <c r="I24" s="21">
        <f ca="1">E30</f>
        <v>0</v>
      </c>
      <c r="J24" s="21">
        <f ca="1">F30</f>
        <v>0</v>
      </c>
    </row>
    <row r="25" spans="2:10" ht="18" customHeight="1" x14ac:dyDescent="0.25">
      <c r="B25" s="375"/>
      <c r="C25" s="57" t="s">
        <v>596</v>
      </c>
      <c r="D25" s="23">
        <f>'3. Calculator'!BC54/1000</f>
        <v>0</v>
      </c>
      <c r="E25" s="23">
        <f>'3. Calculator'!BI54/1000</f>
        <v>0</v>
      </c>
      <c r="F25" s="367"/>
    </row>
    <row r="26" spans="2:10" ht="18" customHeight="1" x14ac:dyDescent="0.25">
      <c r="B26" s="375"/>
      <c r="C26" s="57" t="s">
        <v>597</v>
      </c>
      <c r="D26" s="23">
        <f>'3. Calculator'!BE54/1000</f>
        <v>0</v>
      </c>
      <c r="E26" s="23">
        <f>'3. Calculator'!BK54/1000</f>
        <v>0</v>
      </c>
      <c r="F26" s="367"/>
    </row>
    <row r="27" spans="2:10" ht="18" customHeight="1" x14ac:dyDescent="0.25">
      <c r="B27" s="375" t="s">
        <v>89</v>
      </c>
      <c r="C27" s="57" t="s">
        <v>595</v>
      </c>
      <c r="D27" s="23">
        <f>'3. Calculator'!BB54</f>
        <v>0</v>
      </c>
      <c r="E27" s="23">
        <f>'3. Calculator'!BH54</f>
        <v>0</v>
      </c>
      <c r="F27" s="367">
        <f ca="1">'3. Calculator'!BN54</f>
        <v>0</v>
      </c>
    </row>
    <row r="28" spans="2:10" ht="18" customHeight="1" x14ac:dyDescent="0.25">
      <c r="B28" s="375"/>
      <c r="C28" s="57" t="s">
        <v>596</v>
      </c>
      <c r="D28" s="23">
        <f>'3. Calculator'!BD54/1000</f>
        <v>0</v>
      </c>
      <c r="E28" s="23">
        <f>'3. Calculator'!BJ54/1000</f>
        <v>0</v>
      </c>
      <c r="F28" s="367"/>
    </row>
    <row r="29" spans="2:10" ht="18" customHeight="1" x14ac:dyDescent="0.25">
      <c r="B29" s="375"/>
      <c r="C29" s="57" t="s">
        <v>597</v>
      </c>
      <c r="D29" s="23">
        <f>'3. Calculator'!BF54/1000</f>
        <v>0</v>
      </c>
      <c r="E29" s="23">
        <f>'3. Calculator'!BL54/1000</f>
        <v>0</v>
      </c>
      <c r="F29" s="367"/>
    </row>
    <row r="30" spans="2:10" ht="27" customHeight="1" thickBot="1" x14ac:dyDescent="0.3">
      <c r="B30" s="368" t="s">
        <v>716</v>
      </c>
      <c r="C30" s="369"/>
      <c r="D30" s="259">
        <f ca="1">IF(ISERROR(D24*$H$55),0,D24*$H$55)+IF(ISERROR((D25)*$I$55),0,(D25)*$I$55)+IF(ISERROR((D26)*$J$55),0,(D26)*$J$55) + IF(ISERROR(D27*$H$55),0,D27*$H$55)+IF(ISERROR((D28)*$I$55),0,(D28)*$I$55)+IF(ISERROR((D29)*$J$55),0,(D29)*$J$55)</f>
        <v>0</v>
      </c>
      <c r="E30" s="226">
        <f ca="1">IF(ISERROR(E24*$H$55),0,E24*$H$55)+IF(ISERROR((E25)*$I$55),0,(E25)*$I$55)+IF(ISERROR((E26)*$J$55),0,(E26)*$J$55) + IF(ISERROR(E27*$H$55),0,E27*$H$55)+IF(ISERROR((E28)*$I$55),0,(E28)*$I$55)+IF(ISERROR((E29)*$J$55),0,(E29)*$J$55)</f>
        <v>0</v>
      </c>
      <c r="F30" s="227">
        <f ca="1">SUM(F24:F29)</f>
        <v>0</v>
      </c>
    </row>
    <row r="34" spans="2:12" ht="17.399999999999999" x14ac:dyDescent="0.25">
      <c r="B34" s="36" t="s">
        <v>95</v>
      </c>
    </row>
    <row r="43" spans="2:12" x14ac:dyDescent="0.25">
      <c r="L43" s="13"/>
    </row>
    <row r="52" spans="2:12" ht="13.8" thickBot="1" x14ac:dyDescent="0.3"/>
    <row r="53" spans="2:12" ht="17.25" customHeight="1" thickBot="1" x14ac:dyDescent="0.3">
      <c r="B53" s="359" t="s">
        <v>13</v>
      </c>
      <c r="C53" s="361" t="s">
        <v>85</v>
      </c>
      <c r="D53" s="348" t="s">
        <v>96</v>
      </c>
      <c r="E53" s="349"/>
      <c r="F53" s="350"/>
      <c r="G53" s="352" t="s">
        <v>607</v>
      </c>
      <c r="H53" s="351" t="s">
        <v>120</v>
      </c>
      <c r="I53" s="341" t="s">
        <v>126</v>
      </c>
      <c r="J53" s="341" t="s">
        <v>127</v>
      </c>
      <c r="K53" s="341" t="s">
        <v>128</v>
      </c>
    </row>
    <row r="54" spans="2:12" ht="35.25" customHeight="1" thickBot="1" x14ac:dyDescent="0.3">
      <c r="B54" s="360"/>
      <c r="C54" s="362"/>
      <c r="D54" s="229" t="s">
        <v>602</v>
      </c>
      <c r="E54" s="230" t="s">
        <v>603</v>
      </c>
      <c r="F54" s="230" t="s">
        <v>604</v>
      </c>
      <c r="G54" s="353"/>
      <c r="H54" s="351"/>
      <c r="I54" s="341"/>
      <c r="J54" s="341"/>
      <c r="K54" s="341"/>
    </row>
    <row r="55" spans="2:12" ht="18" customHeight="1" x14ac:dyDescent="0.25">
      <c r="B55" s="344" t="s">
        <v>77</v>
      </c>
      <c r="C55" s="222" t="s">
        <v>86</v>
      </c>
      <c r="D55" s="223">
        <f>'3. Calculator'!BO54</f>
        <v>0</v>
      </c>
      <c r="E55" s="223">
        <f>'3. Calculator'!BT54</f>
        <v>0</v>
      </c>
      <c r="F55" s="223">
        <f>'3. Calculator'!BY54</f>
        <v>0</v>
      </c>
      <c r="G55" s="346">
        <f>'3. Calculator'!CS54</f>
        <v>0</v>
      </c>
      <c r="H55">
        <f ca="1">VLOOKUP("CO2",INDIRECT(IF(Setting_IPCC_GWP_VERSION="2007 IPCC Fourth Assessment Report (AR4)","Ref_EF_IPCC_GWP_2007",IF(Setting_IPCC_GWP_VERSION="2014 IPCC Fifth Assessment Report (AR5)","Ref_EF_IPCC_GWP_2014","Ref_EF_IPCC_GWP_2021"))),2,0)</f>
        <v>1</v>
      </c>
      <c r="I55">
        <f ca="1">VLOOKUP("CH4",INDIRECT(IF(Setting_IPCC_GWP_VERSION="2007 IPCC Fourth Assessment Report (AR4)","Ref_EF_IPCC_GWP_2007",IF(Setting_IPCC_GWP_VERSION="2014 IPCC Fifth Assessment Report (AR5)","Ref_EF_IPCC_GWP_2014","Ref_EF_IPCC_GWP_2021"))),2,0)</f>
        <v>27.9</v>
      </c>
      <c r="J55">
        <f ca="1">VLOOKUP("N2O",INDIRECT(IF(Setting_IPCC_GWP_VERSION="2007 IPCC Fourth Assessment Report (AR4)","Ref_EF_IPCC_GWP_2007",IF(Setting_IPCC_GWP_VERSION="2014 IPCC Fifth Assessment Report (AR5)","Ref_EF_IPCC_GWP_2014","Ref_EF_IPCC_GWP_2021"))),2,0)</f>
        <v>273</v>
      </c>
      <c r="K55">
        <f ca="1">VLOOKUP("Biofuel CO2",INDIRECT(IF(Setting_IPCC_GWP_VERSION="2007 IPCC Fourth Assessment Report (AR4)","Ref_EF_IPCC_GWP_2007",IF(Setting_IPCC_GWP_VERSION="2014 IPCC Fifth Assessment Report (AR5)","Ref_EF_IPCC_GWP_2014","Ref_EF_IPCC_GWP_2021"))),2,0)</f>
        <v>1</v>
      </c>
    </row>
    <row r="56" spans="2:12" ht="18" customHeight="1" thickBot="1" x14ac:dyDescent="0.3">
      <c r="B56" s="345"/>
      <c r="C56" s="224" t="s">
        <v>52</v>
      </c>
      <c r="D56" s="225">
        <f>'3. Calculator'!CD54</f>
        <v>0</v>
      </c>
      <c r="E56" s="225">
        <f>'3. Calculator'!CI54</f>
        <v>0</v>
      </c>
      <c r="F56" s="225">
        <f>'3. Calculator'!CN54</f>
        <v>0</v>
      </c>
      <c r="G56" s="347"/>
      <c r="H56" t="s">
        <v>129</v>
      </c>
    </row>
    <row r="57" spans="2:12" ht="18" customHeight="1" x14ac:dyDescent="0.25">
      <c r="B57" s="344" t="s">
        <v>5</v>
      </c>
      <c r="C57" s="222" t="s">
        <v>86</v>
      </c>
      <c r="D57" s="223">
        <f>'3. Calculator'!BP54</f>
        <v>0</v>
      </c>
      <c r="E57" s="223">
        <f>'3. Calculator'!BU54</f>
        <v>0</v>
      </c>
      <c r="F57" s="223">
        <f>'3. Calculator'!BZ54</f>
        <v>0</v>
      </c>
      <c r="G57" s="346">
        <f>'3. Calculator'!CT54</f>
        <v>0</v>
      </c>
      <c r="H57" t="str">
        <f>B55</f>
        <v>Road</v>
      </c>
      <c r="I57" t="str">
        <f>B57</f>
        <v>Rail</v>
      </c>
      <c r="J57" t="str">
        <f>B59</f>
        <v>Water</v>
      </c>
      <c r="K57" t="str">
        <f>B61</f>
        <v>Aircraft</v>
      </c>
      <c r="L57" s="4" t="s">
        <v>489</v>
      </c>
    </row>
    <row r="58" spans="2:12" ht="18" customHeight="1" thickBot="1" x14ac:dyDescent="0.3">
      <c r="B58" s="345"/>
      <c r="C58" s="224" t="s">
        <v>52</v>
      </c>
      <c r="D58" s="225">
        <f>'3. Calculator'!CE54</f>
        <v>0</v>
      </c>
      <c r="E58" s="225">
        <f>'3. Calculator'!CJ54</f>
        <v>0</v>
      </c>
      <c r="F58" s="225">
        <f>'3. Calculator'!CO54</f>
        <v>0</v>
      </c>
      <c r="G58" s="347"/>
      <c r="H58" s="53">
        <f>SUM(D55:G56)</f>
        <v>0</v>
      </c>
      <c r="I58">
        <f>SUM(D57:G58)</f>
        <v>0</v>
      </c>
      <c r="J58">
        <f>SUM(D59:F60)</f>
        <v>0</v>
      </c>
      <c r="K58" s="53">
        <f>SUM(D61:G62)</f>
        <v>0</v>
      </c>
      <c r="L58" s="53">
        <f>SUM(D63:G64)</f>
        <v>0</v>
      </c>
    </row>
    <row r="59" spans="2:12" ht="18" customHeight="1" x14ac:dyDescent="0.25">
      <c r="B59" s="344" t="s">
        <v>78</v>
      </c>
      <c r="C59" s="222" t="s">
        <v>86</v>
      </c>
      <c r="D59" s="223">
        <f>'3. Calculator'!BQ54</f>
        <v>0</v>
      </c>
      <c r="E59" s="223">
        <f>'3. Calculator'!BV54</f>
        <v>0</v>
      </c>
      <c r="F59" s="223">
        <f>'3. Calculator'!CA54</f>
        <v>0</v>
      </c>
      <c r="G59" s="346">
        <f>'3. Calculator'!CU54</f>
        <v>0</v>
      </c>
    </row>
    <row r="60" spans="2:12" ht="18" customHeight="1" thickBot="1" x14ac:dyDescent="0.3">
      <c r="B60" s="345"/>
      <c r="C60" s="224" t="s">
        <v>52</v>
      </c>
      <c r="D60" s="225">
        <f>'3. Calculator'!CF54</f>
        <v>0</v>
      </c>
      <c r="E60" s="225">
        <f>'3. Calculator'!CK54</f>
        <v>0</v>
      </c>
      <c r="F60" s="225">
        <f>'3. Calculator'!CP54</f>
        <v>0</v>
      </c>
      <c r="G60" s="347"/>
    </row>
    <row r="61" spans="2:12" ht="18" customHeight="1" x14ac:dyDescent="0.25">
      <c r="B61" s="363" t="s">
        <v>6</v>
      </c>
      <c r="C61" s="222" t="s">
        <v>86</v>
      </c>
      <c r="D61" s="223">
        <f>'3. Calculator'!BR54</f>
        <v>0</v>
      </c>
      <c r="E61" s="223">
        <f>'3. Calculator'!BW54</f>
        <v>0</v>
      </c>
      <c r="F61" s="223">
        <f>'3. Calculator'!CB54</f>
        <v>0</v>
      </c>
      <c r="G61" s="346">
        <f>'3. Calculator'!CV54</f>
        <v>0</v>
      </c>
    </row>
    <row r="62" spans="2:12" ht="18" customHeight="1" thickBot="1" x14ac:dyDescent="0.3">
      <c r="B62" s="345"/>
      <c r="C62" s="224" t="s">
        <v>52</v>
      </c>
      <c r="D62" s="225">
        <f>'3. Calculator'!CG54</f>
        <v>0</v>
      </c>
      <c r="E62" s="225">
        <f>'3. Calculator'!CL54</f>
        <v>0</v>
      </c>
      <c r="F62" s="225">
        <f>'3. Calculator'!CQ54</f>
        <v>0</v>
      </c>
      <c r="G62" s="347"/>
    </row>
    <row r="63" spans="2:12" ht="18" customHeight="1" x14ac:dyDescent="0.25">
      <c r="B63" s="344" t="s">
        <v>489</v>
      </c>
      <c r="C63" s="222" t="s">
        <v>86</v>
      </c>
      <c r="D63" s="223">
        <f>'3. Calculator'!BS54</f>
        <v>0</v>
      </c>
      <c r="E63" s="223">
        <f>'3. Calculator'!BY56</f>
        <v>0</v>
      </c>
      <c r="F63" s="223">
        <f>'3. Calculator'!CC54</f>
        <v>0</v>
      </c>
      <c r="G63" s="346">
        <f>'3. Calculator'!CW54</f>
        <v>0</v>
      </c>
    </row>
    <row r="64" spans="2:12" ht="18" customHeight="1" thickBot="1" x14ac:dyDescent="0.3">
      <c r="B64" s="345"/>
      <c r="C64" s="224" t="s">
        <v>52</v>
      </c>
      <c r="D64" s="225">
        <f>'3. Calculator'!CH54</f>
        <v>0</v>
      </c>
      <c r="E64" s="225">
        <f>'3. Calculator'!CM56</f>
        <v>0</v>
      </c>
      <c r="F64" s="225">
        <f>'3. Calculator'!CR54</f>
        <v>0</v>
      </c>
      <c r="G64" s="347"/>
    </row>
    <row r="65" spans="2:7" ht="33.75" customHeight="1" thickBot="1" x14ac:dyDescent="0.3">
      <c r="B65" s="342" t="s">
        <v>718</v>
      </c>
      <c r="C65" s="343"/>
      <c r="D65" s="236">
        <f>SUM(D55:D64)</f>
        <v>0</v>
      </c>
      <c r="E65" s="237">
        <f>SUM(E55:E64)/1000</f>
        <v>0</v>
      </c>
      <c r="F65" s="239">
        <f>SUM(F55:F64)/1000</f>
        <v>0</v>
      </c>
      <c r="G65" s="238">
        <f>SUM(G55:G64)</f>
        <v>0</v>
      </c>
    </row>
    <row r="66" spans="2:7" ht="27" customHeight="1" thickBot="1" x14ac:dyDescent="0.3">
      <c r="B66" s="354" t="s">
        <v>717</v>
      </c>
      <c r="C66" s="355"/>
      <c r="D66" s="356">
        <f ca="1">IF(ISERROR(D65*$H$55),0,D65*$H$55)+IF(ISERROR((E65)*$I$55),0,(E65)*$I$55)+IF(ISERROR((F65)*$J$55),0,(F65)*$J$55)</f>
        <v>0</v>
      </c>
      <c r="E66" s="357"/>
      <c r="F66" s="358"/>
    </row>
  </sheetData>
  <sheetProtection algorithmName="SHA-512" hashValue="AAZ5aiZ2fiGl03kEzKRMZGKAQfcNQWWJmXV2lSA4tmu0PX5b8Xu9NLB1lNovBrfMa1461YfT/1gYGeBAS90QGw==" saltValue="vlTlvNtS9lD8xs1Jn2UbaA==" spinCount="100000" sheet="1" objects="1" scenarios="1"/>
  <mergeCells count="30">
    <mergeCell ref="F22:F23"/>
    <mergeCell ref="F24:F26"/>
    <mergeCell ref="F27:F29"/>
    <mergeCell ref="B30:C30"/>
    <mergeCell ref="D22:E22"/>
    <mergeCell ref="B22:B23"/>
    <mergeCell ref="C22:C23"/>
    <mergeCell ref="B24:B26"/>
    <mergeCell ref="B27:B29"/>
    <mergeCell ref="B66:C66"/>
    <mergeCell ref="D66:F66"/>
    <mergeCell ref="B53:B54"/>
    <mergeCell ref="C53:C54"/>
    <mergeCell ref="B61:B62"/>
    <mergeCell ref="J53:J54"/>
    <mergeCell ref="K53:K54"/>
    <mergeCell ref="B65:C65"/>
    <mergeCell ref="B57:B58"/>
    <mergeCell ref="G57:G58"/>
    <mergeCell ref="D53:F53"/>
    <mergeCell ref="B59:B60"/>
    <mergeCell ref="G59:G60"/>
    <mergeCell ref="H53:H54"/>
    <mergeCell ref="I53:I54"/>
    <mergeCell ref="G61:G62"/>
    <mergeCell ref="G53:G54"/>
    <mergeCell ref="B55:B56"/>
    <mergeCell ref="G55:G56"/>
    <mergeCell ref="B63:B64"/>
    <mergeCell ref="G63:G64"/>
  </mergeCells>
  <phoneticPr fontId="1" type="noConversion"/>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1">
    <tabColor rgb="FF00ACA2"/>
  </sheetPr>
  <dimension ref="B7:E17"/>
  <sheetViews>
    <sheetView showGridLines="0" showRowColHeaders="0" workbookViewId="0">
      <selection activeCell="B1" sqref="B1"/>
    </sheetView>
  </sheetViews>
  <sheetFormatPr defaultColWidth="9.109375" defaultRowHeight="13.2" x14ac:dyDescent="0.25"/>
  <cols>
    <col min="1" max="1" width="7.109375" style="32" customWidth="1"/>
    <col min="2" max="2" width="8.44140625" style="32" customWidth="1"/>
    <col min="3" max="3" width="14.88671875" style="32" customWidth="1"/>
    <col min="4" max="4" width="39.88671875" style="32" bestFit="1" customWidth="1"/>
    <col min="5" max="5" width="86.88671875" style="33" customWidth="1"/>
    <col min="6" max="16384" width="9.109375" style="32"/>
  </cols>
  <sheetData>
    <row r="7" spans="2:5" ht="17.399999999999999" x14ac:dyDescent="0.25">
      <c r="B7" s="36" t="s">
        <v>90</v>
      </c>
    </row>
    <row r="8" spans="2:5" ht="13.8" thickBot="1" x14ac:dyDescent="0.3"/>
    <row r="9" spans="2:5" s="12" customFormat="1" ht="27" customHeight="1" thickBot="1" x14ac:dyDescent="0.3">
      <c r="B9" s="218" t="s">
        <v>97</v>
      </c>
      <c r="C9" s="219" t="s">
        <v>98</v>
      </c>
      <c r="D9" s="219" t="s">
        <v>99</v>
      </c>
      <c r="E9" s="220" t="s">
        <v>100</v>
      </c>
    </row>
    <row r="10" spans="2:5" s="26" customFormat="1" ht="18" customHeight="1" x14ac:dyDescent="0.25">
      <c r="B10" s="176" t="s">
        <v>130</v>
      </c>
      <c r="C10" s="177">
        <v>39943</v>
      </c>
      <c r="D10" s="178" t="s">
        <v>131</v>
      </c>
      <c r="E10" s="179" t="s">
        <v>132</v>
      </c>
    </row>
    <row r="11" spans="2:5" s="26" customFormat="1" ht="27" customHeight="1" x14ac:dyDescent="0.25">
      <c r="B11" s="170" t="s">
        <v>133</v>
      </c>
      <c r="C11" s="34">
        <v>40708</v>
      </c>
      <c r="D11" s="35" t="s">
        <v>135</v>
      </c>
      <c r="E11" s="171" t="s">
        <v>134</v>
      </c>
    </row>
    <row r="12" spans="2:5" s="26" customFormat="1" ht="18" customHeight="1" x14ac:dyDescent="0.25">
      <c r="B12" s="170" t="s">
        <v>137</v>
      </c>
      <c r="C12" s="34">
        <v>40722</v>
      </c>
      <c r="D12" s="35" t="s">
        <v>135</v>
      </c>
      <c r="E12" s="171" t="s">
        <v>138</v>
      </c>
    </row>
    <row r="13" spans="2:5" s="26" customFormat="1" ht="18" customHeight="1" x14ac:dyDescent="0.25">
      <c r="B13" s="170" t="s">
        <v>143</v>
      </c>
      <c r="C13" s="34">
        <v>40840</v>
      </c>
      <c r="D13" s="35" t="s">
        <v>135</v>
      </c>
      <c r="E13" s="171" t="s">
        <v>733</v>
      </c>
    </row>
    <row r="14" spans="2:5" s="26" customFormat="1" ht="18" customHeight="1" x14ac:dyDescent="0.25">
      <c r="B14" s="172" t="s">
        <v>144</v>
      </c>
      <c r="C14" s="34">
        <v>40884</v>
      </c>
      <c r="D14" s="35" t="s">
        <v>146</v>
      </c>
      <c r="E14" s="171" t="s">
        <v>145</v>
      </c>
    </row>
    <row r="15" spans="2:5" s="26" customFormat="1" ht="18" customHeight="1" x14ac:dyDescent="0.25">
      <c r="B15" s="170" t="s">
        <v>148</v>
      </c>
      <c r="C15" s="34">
        <v>41444</v>
      </c>
      <c r="D15" s="35" t="s">
        <v>135</v>
      </c>
      <c r="E15" s="171" t="s">
        <v>147</v>
      </c>
    </row>
    <row r="16" spans="2:5" s="26" customFormat="1" ht="18" customHeight="1" x14ac:dyDescent="0.25">
      <c r="B16" s="170" t="s">
        <v>150</v>
      </c>
      <c r="C16" s="34">
        <v>42142</v>
      </c>
      <c r="D16" s="35" t="s">
        <v>135</v>
      </c>
      <c r="E16" s="171" t="s">
        <v>151</v>
      </c>
    </row>
    <row r="17" spans="2:5" s="26" customFormat="1" ht="34.5" customHeight="1" thickBot="1" x14ac:dyDescent="0.3">
      <c r="B17" s="173" t="s">
        <v>530</v>
      </c>
      <c r="C17" s="174">
        <v>45545</v>
      </c>
      <c r="D17" s="175" t="s">
        <v>531</v>
      </c>
      <c r="E17" s="180" t="s">
        <v>705</v>
      </c>
    </row>
  </sheetData>
  <sheetProtection algorithmName="SHA-512" hashValue="7eI8gyWbzR+qg8MbymJ6N7IqUX6eN6ryXlkaU7mg6rCp29JAqzK5GQ4w38LRVvdpBXKq7RRLN7ul2q0sfb6CNA==" saltValue="vSyqgY5awvkL2VNZXlcYPw==" spinCount="100000" sheet="1" objects="1" scenarios="1"/>
  <phoneticPr fontId="1" type="noConversion"/>
  <dataValidations count="1">
    <dataValidation type="date" operator="greaterThanOrEqual" allowBlank="1" showInputMessage="1" showErrorMessage="1" sqref="C10:C17" xr:uid="{00000000-0002-0000-0400-000000000000}">
      <formula1>1</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theme="5" tint="0.79998168889431442"/>
  </sheetPr>
  <dimension ref="A1:AC178"/>
  <sheetViews>
    <sheetView topLeftCell="A82" workbookViewId="0">
      <selection activeCell="A118" sqref="A118"/>
    </sheetView>
  </sheetViews>
  <sheetFormatPr defaultRowHeight="13.2" x14ac:dyDescent="0.25"/>
  <cols>
    <col min="1" max="1" width="45.44140625" customWidth="1"/>
    <col min="2" max="2" width="22.109375" customWidth="1"/>
    <col min="3" max="3" width="17.6640625" customWidth="1"/>
    <col min="4" max="4" width="15.109375" customWidth="1"/>
    <col min="5" max="5" width="12" customWidth="1"/>
    <col min="6" max="6" width="20.109375" customWidth="1"/>
    <col min="7" max="7" width="12" customWidth="1"/>
    <col min="8" max="8" width="12.33203125" customWidth="1"/>
    <col min="9" max="9" width="12" customWidth="1"/>
    <col min="10" max="10" width="11.109375" customWidth="1"/>
    <col min="11" max="11" width="11" customWidth="1"/>
    <col min="12" max="13" width="12" customWidth="1"/>
    <col min="14" max="14" width="17.6640625" bestFit="1" customWidth="1"/>
    <col min="15" max="15" width="12" customWidth="1"/>
    <col min="16" max="16" width="10.109375" customWidth="1"/>
    <col min="17" max="17" width="13.6640625" customWidth="1"/>
    <col min="18" max="18" width="12" customWidth="1"/>
    <col min="19" max="19" width="11" customWidth="1"/>
    <col min="20" max="21" width="12" customWidth="1"/>
    <col min="22" max="22" width="12.44140625" customWidth="1"/>
    <col min="23" max="23" width="12" customWidth="1"/>
    <col min="24" max="24" width="12" bestFit="1" customWidth="1"/>
    <col min="25" max="25" width="15" bestFit="1" customWidth="1"/>
    <col min="26" max="26" width="19.88671875" bestFit="1" customWidth="1"/>
    <col min="27" max="27" width="16.44140625" bestFit="1" customWidth="1"/>
    <col min="28" max="28" width="15" bestFit="1" customWidth="1"/>
    <col min="29" max="29" width="19.88671875" bestFit="1" customWidth="1"/>
  </cols>
  <sheetData>
    <row r="1" spans="1:29" x14ac:dyDescent="0.25">
      <c r="A1" s="2" t="s">
        <v>119</v>
      </c>
      <c r="B1" s="2"/>
      <c r="C1" s="2"/>
      <c r="D1" s="2"/>
      <c r="E1" s="2"/>
      <c r="F1" s="2"/>
      <c r="G1" s="2"/>
      <c r="H1" s="2"/>
      <c r="I1" s="2"/>
      <c r="J1" s="2"/>
      <c r="K1" s="2"/>
      <c r="L1" s="2"/>
      <c r="M1" s="2"/>
      <c r="N1" s="2"/>
      <c r="O1" s="2"/>
      <c r="P1" s="2"/>
      <c r="Q1" s="2"/>
      <c r="R1" s="2"/>
      <c r="S1" s="2"/>
      <c r="T1" s="2"/>
      <c r="U1" s="2"/>
      <c r="V1" s="2"/>
      <c r="W1" s="2"/>
      <c r="X1" s="2"/>
      <c r="Y1" s="2"/>
      <c r="Z1" s="2"/>
      <c r="AA1" s="2"/>
      <c r="AB1" s="2"/>
      <c r="AC1" s="2"/>
    </row>
    <row r="2" spans="1:29" x14ac:dyDescent="0.25">
      <c r="A2" s="56"/>
      <c r="B2" s="6" t="s">
        <v>56</v>
      </c>
      <c r="C2" s="6"/>
      <c r="D2" s="6"/>
      <c r="E2" s="6"/>
      <c r="F2" s="6"/>
      <c r="G2" s="6"/>
      <c r="H2" s="6"/>
      <c r="I2" s="9"/>
      <c r="L2" s="9"/>
      <c r="O2" s="9"/>
      <c r="R2" s="9"/>
      <c r="U2" s="9"/>
      <c r="X2" s="9"/>
      <c r="AA2" s="9"/>
    </row>
    <row r="3" spans="1:29" x14ac:dyDescent="0.25">
      <c r="A3" s="6" t="s">
        <v>57</v>
      </c>
      <c r="B3" s="7" t="s">
        <v>58</v>
      </c>
      <c r="C3" s="7" t="s">
        <v>59</v>
      </c>
      <c r="D3" s="7" t="s">
        <v>60</v>
      </c>
      <c r="E3" s="7" t="s">
        <v>61</v>
      </c>
      <c r="F3" s="7" t="s">
        <v>18</v>
      </c>
      <c r="G3" s="7" t="s">
        <v>62</v>
      </c>
      <c r="H3" s="7" t="s">
        <v>63</v>
      </c>
      <c r="I3" s="7" t="s">
        <v>64</v>
      </c>
      <c r="J3" s="7" t="s">
        <v>15</v>
      </c>
      <c r="K3" s="7" t="s">
        <v>65</v>
      </c>
      <c r="L3" s="7" t="s">
        <v>66</v>
      </c>
      <c r="M3" s="7" t="s">
        <v>67</v>
      </c>
      <c r="N3" s="7" t="s">
        <v>28</v>
      </c>
      <c r="O3" s="7" t="s">
        <v>38</v>
      </c>
      <c r="P3" s="7" t="s">
        <v>40</v>
      </c>
      <c r="Q3" s="7" t="s">
        <v>69</v>
      </c>
      <c r="R3" s="7" t="s">
        <v>70</v>
      </c>
      <c r="S3" s="7" t="s">
        <v>71</v>
      </c>
      <c r="T3" s="7" t="s">
        <v>72</v>
      </c>
      <c r="U3" s="7" t="s">
        <v>73</v>
      </c>
      <c r="V3" s="7" t="s">
        <v>74</v>
      </c>
      <c r="W3" s="7" t="s">
        <v>223</v>
      </c>
      <c r="X3" s="7" t="s">
        <v>44</v>
      </c>
      <c r="Y3" s="7" t="s">
        <v>91</v>
      </c>
      <c r="Z3" s="7" t="s">
        <v>92</v>
      </c>
      <c r="AA3" s="7" t="s">
        <v>45</v>
      </c>
      <c r="AB3" s="7" t="s">
        <v>51</v>
      </c>
      <c r="AC3" s="7" t="s">
        <v>55</v>
      </c>
    </row>
    <row r="4" spans="1:29" x14ac:dyDescent="0.25">
      <c r="A4" s="1" t="s">
        <v>58</v>
      </c>
      <c r="B4" s="4">
        <v>1</v>
      </c>
      <c r="C4" s="4">
        <v>0.83267384</v>
      </c>
      <c r="D4" s="4">
        <v>3.78541178</v>
      </c>
      <c r="E4" s="4">
        <v>2.3809523799999999E-2</v>
      </c>
      <c r="F4" s="4">
        <v>126.67</v>
      </c>
      <c r="G4" s="4">
        <v>126.67</v>
      </c>
      <c r="H4" s="4">
        <v>3.7854117800000002E-3</v>
      </c>
      <c r="I4" s="9"/>
    </row>
    <row r="5" spans="1:29" x14ac:dyDescent="0.25">
      <c r="A5" s="1" t="s">
        <v>59</v>
      </c>
      <c r="B5" s="4">
        <v>1.2009504200000001</v>
      </c>
      <c r="C5" s="4">
        <v>1</v>
      </c>
      <c r="D5" s="4">
        <v>4.5460918799999996</v>
      </c>
      <c r="E5" s="4">
        <v>2.8594057700000002E-2</v>
      </c>
      <c r="F5" s="4">
        <f>F4*B5</f>
        <v>152.12438970140002</v>
      </c>
      <c r="G5" s="4">
        <f>G4*C5</f>
        <v>126.67</v>
      </c>
      <c r="H5" s="4">
        <v>4.5460918800000003E-3</v>
      </c>
      <c r="I5" s="9"/>
    </row>
    <row r="6" spans="1:29" x14ac:dyDescent="0.25">
      <c r="A6" s="1" t="s">
        <v>60</v>
      </c>
      <c r="B6" s="4">
        <v>0.26417205199999999</v>
      </c>
      <c r="C6" s="4">
        <v>0.219969157</v>
      </c>
      <c r="D6" s="4">
        <v>1</v>
      </c>
      <c r="E6" s="4">
        <v>6.2898107700000002E-3</v>
      </c>
      <c r="F6" s="4">
        <f xml:space="preserve">  0.035314667</f>
        <v>3.5314667000000001E-2</v>
      </c>
      <c r="G6" s="4">
        <f xml:space="preserve">  0.035314667</f>
        <v>3.5314667000000001E-2</v>
      </c>
      <c r="H6" s="4">
        <v>1E-3</v>
      </c>
      <c r="I6" s="9"/>
    </row>
    <row r="7" spans="1:29" x14ac:dyDescent="0.25">
      <c r="A7" s="1" t="s">
        <v>61</v>
      </c>
      <c r="B7" s="4">
        <v>42</v>
      </c>
      <c r="C7" s="4">
        <v>34.972301299999998</v>
      </c>
      <c r="D7" s="4">
        <v>158.98729499999999</v>
      </c>
      <c r="E7" s="4">
        <v>1</v>
      </c>
      <c r="F7" s="4">
        <v>4.2109375</v>
      </c>
      <c r="G7" s="4">
        <v>4.2109375</v>
      </c>
      <c r="H7" s="4">
        <v>0.158987295</v>
      </c>
      <c r="I7" s="9"/>
    </row>
    <row r="8" spans="1:29" x14ac:dyDescent="0.25">
      <c r="A8" s="1" t="s">
        <v>18</v>
      </c>
      <c r="B8" s="4">
        <v>7.4805194799999999</v>
      </c>
      <c r="C8" s="4">
        <v>6.2288328799999997</v>
      </c>
      <c r="D8" s="4">
        <v>28.316846600000002</v>
      </c>
      <c r="E8" s="4">
        <v>0.178107607</v>
      </c>
      <c r="F8" s="4">
        <v>1</v>
      </c>
      <c r="G8" s="4">
        <v>1</v>
      </c>
      <c r="H8" s="4">
        <v>2.8316846600000001E-2</v>
      </c>
      <c r="I8" s="9"/>
    </row>
    <row r="9" spans="1:29" x14ac:dyDescent="0.25">
      <c r="A9" s="1" t="s">
        <v>62</v>
      </c>
      <c r="B9" s="4">
        <v>7.4805194799999999</v>
      </c>
      <c r="C9" s="4">
        <v>6.2288328799999997</v>
      </c>
      <c r="D9" s="4">
        <v>28.316846600000002</v>
      </c>
      <c r="E9" s="4">
        <v>0.178107607</v>
      </c>
      <c r="F9" s="4">
        <v>1</v>
      </c>
      <c r="G9" s="4">
        <v>1</v>
      </c>
      <c r="H9" s="4">
        <v>2.8316846600000001E-2</v>
      </c>
      <c r="I9" s="9"/>
    </row>
    <row r="10" spans="1:29" x14ac:dyDescent="0.25">
      <c r="A10" s="1" t="s">
        <v>63</v>
      </c>
      <c r="B10" s="4">
        <v>264.17205200000001</v>
      </c>
      <c r="C10" s="4">
        <v>219.969157</v>
      </c>
      <c r="D10" s="4">
        <v>1000</v>
      </c>
      <c r="E10" s="4">
        <v>6.2898107699999999</v>
      </c>
      <c r="F10" s="4">
        <v>35.314666699999997</v>
      </c>
      <c r="G10" s="4">
        <v>35.314666699999997</v>
      </c>
      <c r="H10" s="4">
        <v>1</v>
      </c>
      <c r="I10" s="9"/>
    </row>
    <row r="11" spans="1:29" x14ac:dyDescent="0.25">
      <c r="A11" s="1" t="s">
        <v>64</v>
      </c>
      <c r="B11" s="14"/>
      <c r="C11" s="14"/>
      <c r="D11" s="14"/>
      <c r="E11" s="14"/>
      <c r="F11" s="14"/>
      <c r="G11" s="14"/>
      <c r="H11" s="14"/>
      <c r="I11">
        <v>1</v>
      </c>
      <c r="J11">
        <v>1000</v>
      </c>
      <c r="K11">
        <v>2204.6226200000001</v>
      </c>
      <c r="L11">
        <v>1.1023113099999999</v>
      </c>
      <c r="M11">
        <v>0.98420652799999997</v>
      </c>
      <c r="N11">
        <v>1000000</v>
      </c>
    </row>
    <row r="12" spans="1:29" x14ac:dyDescent="0.25">
      <c r="A12" s="1" t="s">
        <v>15</v>
      </c>
      <c r="B12" s="14"/>
      <c r="C12" s="14"/>
      <c r="D12" s="14"/>
      <c r="E12" s="14"/>
      <c r="F12" s="14"/>
      <c r="G12" s="14"/>
      <c r="H12" s="14"/>
      <c r="I12">
        <v>1E-3</v>
      </c>
      <c r="J12">
        <v>1</v>
      </c>
      <c r="K12">
        <v>2.2046226199999999</v>
      </c>
      <c r="L12">
        <v>1.10231131E-3</v>
      </c>
      <c r="M12">
        <v>9.842065279999999E-4</v>
      </c>
      <c r="N12">
        <v>1000</v>
      </c>
    </row>
    <row r="13" spans="1:29" x14ac:dyDescent="0.25">
      <c r="A13" s="1" t="s">
        <v>65</v>
      </c>
      <c r="B13" s="14"/>
      <c r="C13" s="14"/>
      <c r="D13" s="14"/>
      <c r="E13" s="14"/>
      <c r="F13" s="14"/>
      <c r="G13" s="14"/>
      <c r="H13" s="14"/>
      <c r="I13">
        <v>4.5359236999999999E-4</v>
      </c>
      <c r="J13">
        <v>0.45359237000000002</v>
      </c>
      <c r="K13">
        <v>1</v>
      </c>
      <c r="L13">
        <v>5.0000000000000001E-4</v>
      </c>
      <c r="M13">
        <v>4.4642857100000001E-4</v>
      </c>
      <c r="N13">
        <v>453.59237000000002</v>
      </c>
    </row>
    <row r="14" spans="1:29" x14ac:dyDescent="0.25">
      <c r="A14" s="1" t="s">
        <v>66</v>
      </c>
      <c r="B14" s="14"/>
      <c r="C14" s="14"/>
      <c r="D14" s="14"/>
      <c r="E14" s="14"/>
      <c r="F14" s="14"/>
      <c r="G14" s="14"/>
      <c r="H14" s="14"/>
      <c r="I14">
        <v>0.90718474000000004</v>
      </c>
      <c r="J14" s="4">
        <v>907.18474000000003</v>
      </c>
      <c r="K14">
        <v>2000</v>
      </c>
      <c r="L14">
        <v>1</v>
      </c>
      <c r="M14">
        <v>0.89285714299999996</v>
      </c>
      <c r="N14">
        <v>907184.74</v>
      </c>
    </row>
    <row r="15" spans="1:29" x14ac:dyDescent="0.25">
      <c r="A15" s="1" t="s">
        <v>67</v>
      </c>
      <c r="B15" s="14"/>
      <c r="C15" s="14"/>
      <c r="D15" s="14"/>
      <c r="E15" s="14"/>
      <c r="F15" s="14"/>
      <c r="G15" s="14"/>
      <c r="H15" s="14"/>
      <c r="I15">
        <v>1.01604691</v>
      </c>
      <c r="J15" s="4" t="s">
        <v>68</v>
      </c>
      <c r="K15">
        <v>2240</v>
      </c>
      <c r="L15">
        <v>1.1200000000000001</v>
      </c>
      <c r="M15">
        <v>1</v>
      </c>
      <c r="N15">
        <v>1016046.91</v>
      </c>
    </row>
    <row r="16" spans="1:29" x14ac:dyDescent="0.25">
      <c r="A16" s="1" t="s">
        <v>28</v>
      </c>
      <c r="B16" s="14"/>
      <c r="C16" s="14"/>
      <c r="D16" s="14"/>
      <c r="E16" s="14"/>
      <c r="F16" s="14"/>
      <c r="G16" s="14"/>
      <c r="H16" s="14"/>
      <c r="I16">
        <v>9.9999999999999995E-7</v>
      </c>
      <c r="J16" s="4">
        <v>1E-3</v>
      </c>
      <c r="N16">
        <v>1</v>
      </c>
    </row>
    <row r="17" spans="1:29" x14ac:dyDescent="0.25">
      <c r="A17" s="1" t="s">
        <v>38</v>
      </c>
      <c r="B17" s="14"/>
      <c r="C17" s="14"/>
      <c r="D17" s="14"/>
      <c r="E17" s="14"/>
      <c r="F17" s="14"/>
      <c r="G17" s="14"/>
      <c r="H17" s="14"/>
      <c r="I17" s="9"/>
      <c r="O17">
        <v>1</v>
      </c>
      <c r="P17">
        <v>1.6093440000000001</v>
      </c>
    </row>
    <row r="18" spans="1:29" x14ac:dyDescent="0.25">
      <c r="A18" s="1" t="s">
        <v>40</v>
      </c>
      <c r="B18" s="14"/>
      <c r="C18" s="14"/>
      <c r="D18" s="14"/>
      <c r="E18" s="14"/>
      <c r="F18" s="14"/>
      <c r="G18" s="14"/>
      <c r="H18" s="14"/>
      <c r="I18" s="9"/>
      <c r="O18">
        <v>0.62137119200000002</v>
      </c>
      <c r="P18">
        <v>1</v>
      </c>
    </row>
    <row r="19" spans="1:29" x14ac:dyDescent="0.25">
      <c r="A19" s="1" t="s">
        <v>69</v>
      </c>
      <c r="B19" s="14"/>
      <c r="C19" s="14"/>
      <c r="D19" s="14"/>
      <c r="E19" s="14"/>
      <c r="F19" s="14"/>
      <c r="G19" s="14"/>
      <c r="H19" s="14"/>
      <c r="I19" s="9"/>
      <c r="Q19">
        <v>1</v>
      </c>
      <c r="R19" s="1">
        <v>3.4121416299999999E-2</v>
      </c>
      <c r="S19" s="4">
        <v>3412.1416300000001</v>
      </c>
      <c r="T19" s="1">
        <v>3.4121416300000001E-3</v>
      </c>
      <c r="U19">
        <v>3.6</v>
      </c>
      <c r="V19">
        <v>3.5999999999999999E-3</v>
      </c>
      <c r="W19" s="1">
        <f>V19/1000</f>
        <v>3.5999999999999998E-6</v>
      </c>
    </row>
    <row r="20" spans="1:29" x14ac:dyDescent="0.25">
      <c r="A20" s="1" t="s">
        <v>70</v>
      </c>
      <c r="B20" s="14"/>
      <c r="C20" s="14"/>
      <c r="D20" s="14"/>
      <c r="E20" s="14"/>
      <c r="F20" s="14"/>
      <c r="G20" s="14"/>
      <c r="H20" s="14"/>
      <c r="I20" s="9"/>
      <c r="Q20" s="1">
        <v>29.307106999999998</v>
      </c>
      <c r="R20" s="4">
        <v>1</v>
      </c>
      <c r="S20" s="1">
        <v>100000</v>
      </c>
      <c r="T20" s="1">
        <v>0.1</v>
      </c>
      <c r="U20" s="1">
        <v>105.505585</v>
      </c>
      <c r="V20" s="1">
        <v>0.105505585</v>
      </c>
      <c r="W20" s="1">
        <f t="shared" ref="W20:W24" si="0">V20/1000</f>
        <v>1.0550558499999999E-4</v>
      </c>
    </row>
    <row r="21" spans="1:29" x14ac:dyDescent="0.25">
      <c r="A21" s="1" t="s">
        <v>71</v>
      </c>
      <c r="B21" s="14"/>
      <c r="C21" s="14"/>
      <c r="D21" s="14"/>
      <c r="E21" s="14"/>
      <c r="F21" s="14"/>
      <c r="G21" s="14"/>
      <c r="H21" s="14"/>
      <c r="I21" s="9"/>
      <c r="Q21">
        <v>2.9307106999999999E-4</v>
      </c>
      <c r="R21" s="1">
        <v>1.0000000000000001E-5</v>
      </c>
      <c r="S21">
        <v>1</v>
      </c>
      <c r="T21" s="1">
        <v>9.9999999999999995E-7</v>
      </c>
      <c r="U21">
        <v>1.0550558499999999E-3</v>
      </c>
      <c r="V21">
        <v>1.05505585E-6</v>
      </c>
      <c r="W21" s="1">
        <f t="shared" si="0"/>
        <v>1.05505585E-9</v>
      </c>
    </row>
    <row r="22" spans="1:29" x14ac:dyDescent="0.25">
      <c r="A22" s="1" t="s">
        <v>72</v>
      </c>
      <c r="B22" s="14"/>
      <c r="C22" s="14"/>
      <c r="D22" s="14"/>
      <c r="E22" s="14"/>
      <c r="F22" s="14"/>
      <c r="G22" s="14"/>
      <c r="H22" s="14"/>
      <c r="I22" s="9"/>
      <c r="Q22" s="1">
        <v>293.07106999999996</v>
      </c>
      <c r="R22" s="1">
        <v>10</v>
      </c>
      <c r="S22" s="1">
        <v>1000000</v>
      </c>
      <c r="T22" s="4">
        <v>1</v>
      </c>
      <c r="U22" s="1">
        <v>1055.05585</v>
      </c>
      <c r="V22" s="1">
        <v>1.05505585</v>
      </c>
      <c r="W22" s="1">
        <f t="shared" si="0"/>
        <v>1.0550558499999999E-3</v>
      </c>
    </row>
    <row r="23" spans="1:29" x14ac:dyDescent="0.25">
      <c r="A23" s="1" t="s">
        <v>73</v>
      </c>
      <c r="B23" s="14"/>
      <c r="C23" s="14"/>
      <c r="D23" s="14"/>
      <c r="E23" s="14"/>
      <c r="F23" s="14"/>
      <c r="G23" s="14"/>
      <c r="H23" s="14"/>
      <c r="I23" s="9"/>
      <c r="Q23">
        <v>0.27777777799999998</v>
      </c>
      <c r="R23" s="1">
        <v>9.4781711999999997E-3</v>
      </c>
      <c r="S23">
        <v>947.81712000000005</v>
      </c>
      <c r="T23" s="1">
        <v>9.4781712000000006E-4</v>
      </c>
      <c r="U23">
        <v>1</v>
      </c>
      <c r="V23">
        <v>1E-3</v>
      </c>
      <c r="W23" s="1">
        <f t="shared" si="0"/>
        <v>9.9999999999999995E-7</v>
      </c>
    </row>
    <row r="24" spans="1:29" x14ac:dyDescent="0.25">
      <c r="A24" s="1" t="s">
        <v>74</v>
      </c>
      <c r="B24" s="14"/>
      <c r="C24" s="14"/>
      <c r="D24" s="14"/>
      <c r="E24" s="14"/>
      <c r="F24" s="14"/>
      <c r="G24" s="14"/>
      <c r="H24" s="14"/>
      <c r="I24" s="9"/>
      <c r="Q24">
        <v>277.77777800000001</v>
      </c>
      <c r="R24" s="1">
        <v>9.4781712000000002</v>
      </c>
      <c r="S24" s="4">
        <v>947817.12</v>
      </c>
      <c r="T24" s="1">
        <v>0.94781711999999996</v>
      </c>
      <c r="U24" s="4">
        <v>1000</v>
      </c>
      <c r="V24">
        <v>1</v>
      </c>
      <c r="W24" s="1">
        <f t="shared" si="0"/>
        <v>1E-3</v>
      </c>
    </row>
    <row r="25" spans="1:29" x14ac:dyDescent="0.25">
      <c r="A25" s="1" t="s">
        <v>223</v>
      </c>
      <c r="B25" s="14"/>
      <c r="C25" s="14"/>
      <c r="D25" s="14"/>
      <c r="E25" s="14"/>
      <c r="F25" s="14"/>
      <c r="G25" s="14"/>
      <c r="H25" s="14"/>
      <c r="I25" s="9"/>
      <c r="Q25" s="1"/>
      <c r="R25" s="4"/>
      <c r="S25" s="52">
        <v>947817120</v>
      </c>
      <c r="T25" s="52">
        <v>947.81711999999993</v>
      </c>
      <c r="U25" s="52">
        <v>1000000</v>
      </c>
      <c r="V25" s="52">
        <v>1000</v>
      </c>
      <c r="W25" s="4">
        <v>1</v>
      </c>
    </row>
    <row r="26" spans="1:29" x14ac:dyDescent="0.25">
      <c r="A26" s="1" t="s">
        <v>44</v>
      </c>
      <c r="B26" s="14"/>
      <c r="C26" s="14"/>
      <c r="D26" s="14"/>
      <c r="E26" s="14"/>
      <c r="F26" s="14"/>
      <c r="G26" s="14"/>
      <c r="H26" s="14"/>
      <c r="I26" s="9"/>
      <c r="S26" s="51"/>
      <c r="X26">
        <v>1</v>
      </c>
      <c r="Y26">
        <v>1.1023113099999999</v>
      </c>
      <c r="Z26">
        <v>1.7739980900000001</v>
      </c>
      <c r="AA26">
        <v>1.6093440000000001</v>
      </c>
    </row>
    <row r="27" spans="1:29" x14ac:dyDescent="0.25">
      <c r="A27" s="1" t="s">
        <v>91</v>
      </c>
      <c r="B27" s="14"/>
      <c r="C27" s="14"/>
      <c r="D27" s="14"/>
      <c r="E27" s="14"/>
      <c r="F27" s="14"/>
      <c r="G27" s="14"/>
      <c r="H27" s="14"/>
      <c r="I27" s="9"/>
      <c r="X27">
        <v>0.90718474076075661</v>
      </c>
      <c r="Y27">
        <v>1</v>
      </c>
      <c r="Z27">
        <v>1.6093440006146924</v>
      </c>
      <c r="AA27">
        <v>1.4599723194348793</v>
      </c>
    </row>
    <row r="28" spans="1:29" x14ac:dyDescent="0.25">
      <c r="A28" s="1" t="s">
        <v>92</v>
      </c>
      <c r="B28" s="14"/>
      <c r="C28" s="14"/>
      <c r="D28" s="14"/>
      <c r="E28" s="14"/>
      <c r="F28" s="14"/>
      <c r="G28" s="14"/>
      <c r="H28" s="14"/>
      <c r="I28" s="9"/>
      <c r="X28">
        <v>0.5636984637307223</v>
      </c>
      <c r="Y28">
        <v>0.62137119199999991</v>
      </c>
      <c r="Z28">
        <v>1</v>
      </c>
      <c r="AA28">
        <v>0.90718474000000004</v>
      </c>
    </row>
    <row r="29" spans="1:29" x14ac:dyDescent="0.25">
      <c r="A29" s="1" t="s">
        <v>45</v>
      </c>
      <c r="B29" s="14"/>
      <c r="C29" s="14"/>
      <c r="D29" s="14"/>
      <c r="E29" s="14"/>
      <c r="F29" s="14"/>
      <c r="G29" s="14"/>
      <c r="H29" s="14"/>
      <c r="I29" s="9"/>
      <c r="X29">
        <v>0.62137119200000002</v>
      </c>
      <c r="Y29">
        <v>0.68494449264978152</v>
      </c>
      <c r="Z29">
        <v>1.1023113099999999</v>
      </c>
      <c r="AA29">
        <v>1</v>
      </c>
    </row>
    <row r="30" spans="1:29" x14ac:dyDescent="0.25">
      <c r="A30" s="1" t="s">
        <v>51</v>
      </c>
      <c r="B30" s="14"/>
      <c r="C30" s="14"/>
      <c r="D30" s="14"/>
      <c r="E30" s="14"/>
      <c r="F30" s="14"/>
      <c r="G30" s="14"/>
      <c r="H30" s="14"/>
      <c r="I30" s="9"/>
      <c r="AB30">
        <v>1</v>
      </c>
      <c r="AC30">
        <v>1.6093440000000001</v>
      </c>
    </row>
    <row r="31" spans="1:29" x14ac:dyDescent="0.25">
      <c r="A31" s="1" t="s">
        <v>55</v>
      </c>
      <c r="B31" s="14"/>
      <c r="C31" s="14"/>
      <c r="D31" s="14"/>
      <c r="E31" s="14"/>
      <c r="F31" s="14"/>
      <c r="G31" s="14"/>
      <c r="H31" s="14"/>
      <c r="I31" s="9"/>
      <c r="AB31">
        <v>0.62137119200000002</v>
      </c>
      <c r="AC31">
        <v>1</v>
      </c>
    </row>
    <row r="32" spans="1:29" x14ac:dyDescent="0.25">
      <c r="A32" s="14"/>
      <c r="B32" s="14"/>
      <c r="C32" s="14"/>
      <c r="D32" s="14"/>
      <c r="E32" s="14"/>
      <c r="F32" s="14"/>
      <c r="G32" s="14"/>
      <c r="H32" s="14"/>
      <c r="I32" s="9"/>
    </row>
    <row r="34" spans="1:2" x14ac:dyDescent="0.25">
      <c r="A34" s="2" t="s">
        <v>75</v>
      </c>
    </row>
    <row r="35" spans="1:2" x14ac:dyDescent="0.25">
      <c r="A35" s="4"/>
    </row>
    <row r="36" spans="1:2" x14ac:dyDescent="0.25">
      <c r="A36" s="5" t="s">
        <v>7</v>
      </c>
    </row>
    <row r="37" spans="1:2" x14ac:dyDescent="0.25">
      <c r="A37" s="4" t="s">
        <v>14</v>
      </c>
    </row>
    <row r="38" spans="1:2" x14ac:dyDescent="0.25">
      <c r="A38" s="4" t="s">
        <v>20</v>
      </c>
    </row>
    <row r="39" spans="1:2" x14ac:dyDescent="0.25">
      <c r="A39" s="4" t="s">
        <v>121</v>
      </c>
    </row>
    <row r="40" spans="1:2" x14ac:dyDescent="0.25">
      <c r="A40" s="4"/>
    </row>
    <row r="41" spans="1:2" x14ac:dyDescent="0.25">
      <c r="A41" s="2" t="s">
        <v>76</v>
      </c>
      <c r="B41" s="2"/>
    </row>
    <row r="43" spans="1:2" x14ac:dyDescent="0.25">
      <c r="A43" s="5" t="s">
        <v>13</v>
      </c>
    </row>
    <row r="44" spans="1:2" x14ac:dyDescent="0.25">
      <c r="A44" t="s">
        <v>77</v>
      </c>
    </row>
    <row r="45" spans="1:2" x14ac:dyDescent="0.25">
      <c r="A45" t="s">
        <v>5</v>
      </c>
    </row>
    <row r="46" spans="1:2" x14ac:dyDescent="0.25">
      <c r="A46" t="s">
        <v>78</v>
      </c>
    </row>
    <row r="47" spans="1:2" x14ac:dyDescent="0.25">
      <c r="A47" t="s">
        <v>6</v>
      </c>
    </row>
    <row r="48" spans="1:2" x14ac:dyDescent="0.25">
      <c r="A48" t="s">
        <v>489</v>
      </c>
    </row>
    <row r="50" spans="1:3" x14ac:dyDescent="0.25">
      <c r="A50" s="2" t="s">
        <v>528</v>
      </c>
      <c r="B50" s="2"/>
    </row>
    <row r="52" spans="1:3" x14ac:dyDescent="0.25">
      <c r="A52" s="5" t="s">
        <v>689</v>
      </c>
      <c r="B52" s="5" t="s">
        <v>526</v>
      </c>
      <c r="C52" s="5" t="s">
        <v>527</v>
      </c>
    </row>
    <row r="53" spans="1:3" x14ac:dyDescent="0.25">
      <c r="A53" s="4" t="s">
        <v>80</v>
      </c>
      <c r="B53" s="4" t="s">
        <v>80</v>
      </c>
      <c r="C53" s="4" t="s">
        <v>80</v>
      </c>
    </row>
    <row r="54" spans="1:3" x14ac:dyDescent="0.25">
      <c r="A54" t="s">
        <v>4</v>
      </c>
      <c r="B54" t="s">
        <v>4</v>
      </c>
      <c r="C54" t="s">
        <v>4</v>
      </c>
    </row>
    <row r="55" spans="1:3" x14ac:dyDescent="0.25">
      <c r="A55" t="s">
        <v>81</v>
      </c>
      <c r="B55" t="s">
        <v>122</v>
      </c>
      <c r="C55" t="s">
        <v>81</v>
      </c>
    </row>
    <row r="56" spans="1:3" x14ac:dyDescent="0.25">
      <c r="A56" t="s">
        <v>122</v>
      </c>
      <c r="B56" t="s">
        <v>123</v>
      </c>
      <c r="C56" t="s">
        <v>122</v>
      </c>
    </row>
    <row r="57" spans="1:3" x14ac:dyDescent="0.25">
      <c r="A57" t="s">
        <v>123</v>
      </c>
      <c r="C57" t="s">
        <v>123</v>
      </c>
    </row>
    <row r="61" spans="1:3" x14ac:dyDescent="0.25">
      <c r="A61" s="2" t="s">
        <v>529</v>
      </c>
      <c r="B61" s="2"/>
    </row>
    <row r="63" spans="1:3" x14ac:dyDescent="0.25">
      <c r="A63" s="5" t="s">
        <v>525</v>
      </c>
      <c r="B63" s="5" t="s">
        <v>526</v>
      </c>
      <c r="C63" s="5" t="s">
        <v>527</v>
      </c>
    </row>
    <row r="64" spans="1:3" x14ac:dyDescent="0.25">
      <c r="A64" s="4" t="s">
        <v>80</v>
      </c>
      <c r="B64" s="4" t="s">
        <v>80</v>
      </c>
      <c r="C64" s="4" t="s">
        <v>80</v>
      </c>
    </row>
    <row r="65" spans="1:3" x14ac:dyDescent="0.25">
      <c r="A65" t="s">
        <v>4</v>
      </c>
      <c r="B65" s="4" t="s">
        <v>4</v>
      </c>
      <c r="C65" t="s">
        <v>4</v>
      </c>
    </row>
    <row r="66" spans="1:3" x14ac:dyDescent="0.25">
      <c r="A66" t="s">
        <v>122</v>
      </c>
      <c r="B66" t="s">
        <v>83</v>
      </c>
      <c r="C66" t="s">
        <v>81</v>
      </c>
    </row>
    <row r="67" spans="1:3" x14ac:dyDescent="0.25">
      <c r="A67" t="s">
        <v>123</v>
      </c>
      <c r="B67" t="s">
        <v>82</v>
      </c>
      <c r="C67" t="s">
        <v>83</v>
      </c>
    </row>
    <row r="68" spans="1:3" x14ac:dyDescent="0.25">
      <c r="B68" s="4" t="s">
        <v>594</v>
      </c>
      <c r="C68" t="s">
        <v>82</v>
      </c>
    </row>
    <row r="69" spans="1:3" x14ac:dyDescent="0.25">
      <c r="B69" t="s">
        <v>122</v>
      </c>
      <c r="C69" t="s">
        <v>122</v>
      </c>
    </row>
    <row r="70" spans="1:3" x14ac:dyDescent="0.25">
      <c r="B70" t="s">
        <v>123</v>
      </c>
      <c r="C70" t="s">
        <v>123</v>
      </c>
    </row>
    <row r="73" spans="1:3" x14ac:dyDescent="0.25">
      <c r="A73" s="2" t="s">
        <v>84</v>
      </c>
    </row>
    <row r="75" spans="1:3" x14ac:dyDescent="0.25">
      <c r="A75" s="5" t="s">
        <v>85</v>
      </c>
      <c r="B75" s="5"/>
    </row>
    <row r="76" spans="1:3" x14ac:dyDescent="0.25">
      <c r="A76" s="4" t="s">
        <v>86</v>
      </c>
      <c r="B76" s="4"/>
    </row>
    <row r="77" spans="1:3" x14ac:dyDescent="0.25">
      <c r="A77" s="4" t="s">
        <v>52</v>
      </c>
    </row>
    <row r="80" spans="1:3" x14ac:dyDescent="0.25">
      <c r="A80" s="2" t="s">
        <v>110</v>
      </c>
    </row>
    <row r="81" spans="1:2" x14ac:dyDescent="0.25">
      <c r="A81" s="8"/>
    </row>
    <row r="83" spans="1:2" x14ac:dyDescent="0.25">
      <c r="A83" s="2" t="s">
        <v>111</v>
      </c>
      <c r="B83" s="2"/>
    </row>
    <row r="85" spans="1:2" x14ac:dyDescent="0.25">
      <c r="A85" s="5" t="s">
        <v>109</v>
      </c>
    </row>
    <row r="86" spans="1:2" x14ac:dyDescent="0.25">
      <c r="A86" t="str">
        <f>A26</f>
        <v>Tonne Mile</v>
      </c>
    </row>
    <row r="87" spans="1:2" x14ac:dyDescent="0.25">
      <c r="A87" t="str">
        <f>A29</f>
        <v>Tonne Kilometer</v>
      </c>
    </row>
    <row r="88" spans="1:2" x14ac:dyDescent="0.25">
      <c r="A88" t="s">
        <v>91</v>
      </c>
    </row>
    <row r="89" spans="1:2" x14ac:dyDescent="0.25">
      <c r="A89" t="s">
        <v>92</v>
      </c>
    </row>
    <row r="90" spans="1:2" x14ac:dyDescent="0.25">
      <c r="A90" t="str">
        <f>A30</f>
        <v>Passenger Mile</v>
      </c>
    </row>
    <row r="91" spans="1:2" x14ac:dyDescent="0.25">
      <c r="A91" t="str">
        <f>A31</f>
        <v>Passenger Kilometer</v>
      </c>
    </row>
    <row r="92" spans="1:2" x14ac:dyDescent="0.25">
      <c r="A92" t="str">
        <f>A17</f>
        <v>Mile</v>
      </c>
    </row>
    <row r="93" spans="1:2" x14ac:dyDescent="0.25">
      <c r="A93" t="str">
        <f>A18</f>
        <v>Kilometer</v>
      </c>
    </row>
    <row r="95" spans="1:2" x14ac:dyDescent="0.25">
      <c r="A95" s="2" t="s">
        <v>114</v>
      </c>
    </row>
    <row r="97" spans="1:3" x14ac:dyDescent="0.25">
      <c r="A97" s="5" t="s">
        <v>112</v>
      </c>
    </row>
    <row r="98" spans="1:3" x14ac:dyDescent="0.25">
      <c r="A98" s="4" t="s">
        <v>508</v>
      </c>
    </row>
    <row r="99" spans="1:3" x14ac:dyDescent="0.25">
      <c r="A99" s="4" t="s">
        <v>509</v>
      </c>
    </row>
    <row r="100" spans="1:3" x14ac:dyDescent="0.25">
      <c r="A100" s="4" t="s">
        <v>510</v>
      </c>
    </row>
    <row r="101" spans="1:3" x14ac:dyDescent="0.25">
      <c r="A101" s="4"/>
    </row>
    <row r="102" spans="1:3" x14ac:dyDescent="0.25">
      <c r="A102" s="2" t="s">
        <v>115</v>
      </c>
    </row>
    <row r="104" spans="1:3" x14ac:dyDescent="0.25">
      <c r="A104" s="5" t="s">
        <v>112</v>
      </c>
      <c r="B104" s="5" t="s">
        <v>116</v>
      </c>
      <c r="C104" s="5" t="s">
        <v>117</v>
      </c>
    </row>
    <row r="105" spans="1:3" x14ac:dyDescent="0.25">
      <c r="A105" s="4" t="s">
        <v>113</v>
      </c>
      <c r="B105" s="4" t="s">
        <v>1</v>
      </c>
      <c r="C105">
        <v>1</v>
      </c>
    </row>
    <row r="106" spans="1:3" x14ac:dyDescent="0.25">
      <c r="A106" s="4" t="s">
        <v>113</v>
      </c>
      <c r="B106" s="4" t="s">
        <v>108</v>
      </c>
      <c r="C106">
        <v>1</v>
      </c>
    </row>
    <row r="107" spans="1:3" x14ac:dyDescent="0.25">
      <c r="A107" s="4" t="s">
        <v>113</v>
      </c>
      <c r="B107" s="4" t="s">
        <v>2</v>
      </c>
      <c r="C107">
        <v>25</v>
      </c>
    </row>
    <row r="108" spans="1:3" x14ac:dyDescent="0.25">
      <c r="A108" s="4" t="s">
        <v>113</v>
      </c>
      <c r="B108" s="4" t="s">
        <v>3</v>
      </c>
      <c r="C108">
        <v>298</v>
      </c>
    </row>
    <row r="109" spans="1:3" x14ac:dyDescent="0.25">
      <c r="A109" s="4" t="s">
        <v>152</v>
      </c>
      <c r="B109" s="4" t="s">
        <v>1</v>
      </c>
      <c r="C109">
        <v>1</v>
      </c>
    </row>
    <row r="110" spans="1:3" ht="16.5" customHeight="1" x14ac:dyDescent="0.25">
      <c r="A110" s="4" t="s">
        <v>152</v>
      </c>
      <c r="B110" s="4" t="s">
        <v>108</v>
      </c>
      <c r="C110">
        <v>1</v>
      </c>
    </row>
    <row r="111" spans="1:3" ht="16.5" customHeight="1" x14ac:dyDescent="0.25">
      <c r="A111" s="4" t="s">
        <v>152</v>
      </c>
      <c r="B111" s="4" t="s">
        <v>2</v>
      </c>
      <c r="C111">
        <v>28</v>
      </c>
    </row>
    <row r="112" spans="1:3" ht="13.5" customHeight="1" x14ac:dyDescent="0.25">
      <c r="A112" s="4" t="s">
        <v>152</v>
      </c>
      <c r="B112" s="4" t="s">
        <v>3</v>
      </c>
      <c r="C112">
        <v>265</v>
      </c>
    </row>
    <row r="113" spans="1:3" x14ac:dyDescent="0.25">
      <c r="A113" s="4" t="s">
        <v>511</v>
      </c>
      <c r="B113" s="4" t="s">
        <v>1</v>
      </c>
      <c r="C113">
        <v>1</v>
      </c>
    </row>
    <row r="114" spans="1:3" ht="16.5" customHeight="1" x14ac:dyDescent="0.25">
      <c r="A114" s="4" t="s">
        <v>511</v>
      </c>
      <c r="B114" s="4" t="s">
        <v>108</v>
      </c>
      <c r="C114">
        <v>1</v>
      </c>
    </row>
    <row r="115" spans="1:3" ht="16.5" customHeight="1" x14ac:dyDescent="0.25">
      <c r="A115" s="4" t="s">
        <v>511</v>
      </c>
      <c r="B115" s="4" t="s">
        <v>2</v>
      </c>
      <c r="C115">
        <v>27.9</v>
      </c>
    </row>
    <row r="116" spans="1:3" ht="13.5" customHeight="1" x14ac:dyDescent="0.25">
      <c r="A116" s="4" t="s">
        <v>511</v>
      </c>
      <c r="B116" s="4" t="s">
        <v>3</v>
      </c>
      <c r="C116">
        <v>273</v>
      </c>
    </row>
    <row r="117" spans="1:3" x14ac:dyDescent="0.25">
      <c r="A117" s="4"/>
    </row>
    <row r="119" spans="1:3" x14ac:dyDescent="0.25">
      <c r="A119" s="2" t="s">
        <v>76</v>
      </c>
    </row>
    <row r="121" spans="1:3" x14ac:dyDescent="0.25">
      <c r="A121" s="1" t="s">
        <v>520</v>
      </c>
      <c r="B121" s="1" t="s">
        <v>521</v>
      </c>
      <c r="C121" s="1" t="s">
        <v>519</v>
      </c>
    </row>
    <row r="122" spans="1:3" x14ac:dyDescent="0.25">
      <c r="A122" t="s">
        <v>77</v>
      </c>
      <c r="B122" t="s">
        <v>77</v>
      </c>
      <c r="C122" t="s">
        <v>77</v>
      </c>
    </row>
    <row r="123" spans="1:3" x14ac:dyDescent="0.25">
      <c r="A123" t="s">
        <v>5</v>
      </c>
      <c r="B123" t="s">
        <v>5</v>
      </c>
      <c r="C123" t="s">
        <v>5</v>
      </c>
    </row>
    <row r="124" spans="1:3" x14ac:dyDescent="0.25">
      <c r="A124" t="s">
        <v>78</v>
      </c>
      <c r="B124" t="s">
        <v>78</v>
      </c>
      <c r="C124" t="s">
        <v>78</v>
      </c>
    </row>
    <row r="125" spans="1:3" x14ac:dyDescent="0.25">
      <c r="A125" t="s">
        <v>6</v>
      </c>
      <c r="B125" t="s">
        <v>6</v>
      </c>
      <c r="C125" t="s">
        <v>6</v>
      </c>
    </row>
    <row r="126" spans="1:3" x14ac:dyDescent="0.25">
      <c r="A126" t="s">
        <v>489</v>
      </c>
      <c r="C126" t="s">
        <v>489</v>
      </c>
    </row>
    <row r="130" spans="1:2" x14ac:dyDescent="0.25">
      <c r="A130" s="2" t="s">
        <v>524</v>
      </c>
    </row>
    <row r="131" spans="1:2" x14ac:dyDescent="0.25">
      <c r="A131" s="49" t="s">
        <v>0</v>
      </c>
      <c r="B131" s="49" t="s">
        <v>7</v>
      </c>
    </row>
    <row r="132" spans="1:2" x14ac:dyDescent="0.25">
      <c r="A132" s="39" t="s">
        <v>532</v>
      </c>
      <c r="B132" s="40" t="s">
        <v>121</v>
      </c>
    </row>
    <row r="133" spans="1:2" x14ac:dyDescent="0.25">
      <c r="A133" s="39" t="s">
        <v>153</v>
      </c>
      <c r="B133" s="40" t="s">
        <v>121</v>
      </c>
    </row>
    <row r="134" spans="1:2" x14ac:dyDescent="0.25">
      <c r="A134" s="39" t="s">
        <v>19</v>
      </c>
      <c r="B134" s="40" t="s">
        <v>121</v>
      </c>
    </row>
    <row r="135" spans="1:2" x14ac:dyDescent="0.25">
      <c r="A135" s="40" t="s">
        <v>154</v>
      </c>
      <c r="B135" s="40" t="s">
        <v>121</v>
      </c>
    </row>
    <row r="136" spans="1:2" x14ac:dyDescent="0.25">
      <c r="A136" s="40" t="s">
        <v>17</v>
      </c>
      <c r="B136" s="40" t="s">
        <v>121</v>
      </c>
    </row>
    <row r="137" spans="1:2" x14ac:dyDescent="0.25">
      <c r="A137" s="39" t="s">
        <v>155</v>
      </c>
      <c r="B137" s="40" t="s">
        <v>121</v>
      </c>
    </row>
    <row r="138" spans="1:2" x14ac:dyDescent="0.25">
      <c r="A138" s="39" t="s">
        <v>156</v>
      </c>
      <c r="B138" s="40" t="s">
        <v>121</v>
      </c>
    </row>
    <row r="139" spans="1:2" x14ac:dyDescent="0.25">
      <c r="A139" s="40" t="s">
        <v>157</v>
      </c>
      <c r="B139" s="40" t="s">
        <v>121</v>
      </c>
    </row>
    <row r="140" spans="1:2" x14ac:dyDescent="0.25">
      <c r="A140" s="39" t="s">
        <v>158</v>
      </c>
      <c r="B140" s="40" t="s">
        <v>14</v>
      </c>
    </row>
    <row r="141" spans="1:2" x14ac:dyDescent="0.25">
      <c r="A141" s="39" t="s">
        <v>19</v>
      </c>
      <c r="B141" s="40" t="s">
        <v>14</v>
      </c>
    </row>
    <row r="142" spans="1:2" x14ac:dyDescent="0.25">
      <c r="A142" s="40" t="s">
        <v>159</v>
      </c>
      <c r="B142" s="40" t="s">
        <v>14</v>
      </c>
    </row>
    <row r="143" spans="1:2" x14ac:dyDescent="0.25">
      <c r="A143" s="40" t="s">
        <v>160</v>
      </c>
      <c r="B143" s="40" t="s">
        <v>14</v>
      </c>
    </row>
    <row r="144" spans="1:2" x14ac:dyDescent="0.25">
      <c r="A144" s="40" t="s">
        <v>155</v>
      </c>
      <c r="B144" s="40" t="s">
        <v>14</v>
      </c>
    </row>
    <row r="145" spans="1:2" x14ac:dyDescent="0.25">
      <c r="A145" s="40" t="s">
        <v>156</v>
      </c>
      <c r="B145" s="40" t="s">
        <v>14</v>
      </c>
    </row>
    <row r="146" spans="1:2" x14ac:dyDescent="0.25">
      <c r="A146" s="40" t="s">
        <v>157</v>
      </c>
      <c r="B146" s="40" t="s">
        <v>14</v>
      </c>
    </row>
    <row r="147" spans="1:2" x14ac:dyDescent="0.25">
      <c r="A147" s="40" t="s">
        <v>161</v>
      </c>
      <c r="B147" s="40" t="s">
        <v>14</v>
      </c>
    </row>
    <row r="148" spans="1:2" x14ac:dyDescent="0.25">
      <c r="A148" s="40" t="s">
        <v>162</v>
      </c>
      <c r="B148" s="40" t="s">
        <v>14</v>
      </c>
    </row>
    <row r="149" spans="1:2" x14ac:dyDescent="0.25">
      <c r="A149" s="40" t="s">
        <v>163</v>
      </c>
      <c r="B149" s="40" t="s">
        <v>14</v>
      </c>
    </row>
    <row r="150" spans="1:2" x14ac:dyDescent="0.25">
      <c r="A150" s="40" t="s">
        <v>522</v>
      </c>
      <c r="B150" s="40" t="s">
        <v>14</v>
      </c>
    </row>
    <row r="151" spans="1:2" x14ac:dyDescent="0.25">
      <c r="A151" s="40" t="s">
        <v>523</v>
      </c>
      <c r="B151" s="40" t="s">
        <v>14</v>
      </c>
    </row>
    <row r="152" spans="1:2" x14ac:dyDescent="0.25">
      <c r="A152" s="40" t="s">
        <v>164</v>
      </c>
      <c r="B152" s="40" t="s">
        <v>20</v>
      </c>
    </row>
    <row r="153" spans="1:2" x14ac:dyDescent="0.25">
      <c r="A153" s="40" t="s">
        <v>165</v>
      </c>
      <c r="B153" s="40" t="s">
        <v>20</v>
      </c>
    </row>
    <row r="154" spans="1:2" x14ac:dyDescent="0.25">
      <c r="A154" s="40" t="s">
        <v>166</v>
      </c>
      <c r="B154" s="40" t="s">
        <v>20</v>
      </c>
    </row>
    <row r="155" spans="1:2" x14ac:dyDescent="0.25">
      <c r="A155" s="40" t="s">
        <v>167</v>
      </c>
      <c r="B155" s="40" t="s">
        <v>20</v>
      </c>
    </row>
    <row r="156" spans="1:2" x14ac:dyDescent="0.25">
      <c r="A156" s="40" t="s">
        <v>168</v>
      </c>
      <c r="B156" s="40" t="s">
        <v>20</v>
      </c>
    </row>
    <row r="157" spans="1:2" x14ac:dyDescent="0.25">
      <c r="A157" s="39" t="s">
        <v>169</v>
      </c>
      <c r="B157" s="40" t="s">
        <v>20</v>
      </c>
    </row>
    <row r="158" spans="1:2" x14ac:dyDescent="0.25">
      <c r="A158" s="39" t="s">
        <v>157</v>
      </c>
      <c r="B158" s="40" t="s">
        <v>20</v>
      </c>
    </row>
    <row r="159" spans="1:2" x14ac:dyDescent="0.25">
      <c r="A159" s="40" t="s">
        <v>161</v>
      </c>
      <c r="B159" s="40" t="s">
        <v>20</v>
      </c>
    </row>
    <row r="160" spans="1:2" x14ac:dyDescent="0.25">
      <c r="A160" s="40" t="s">
        <v>156</v>
      </c>
      <c r="B160" s="40" t="s">
        <v>20</v>
      </c>
    </row>
    <row r="161" spans="1:14" x14ac:dyDescent="0.25">
      <c r="A161" s="39" t="s">
        <v>170</v>
      </c>
      <c r="B161" s="40" t="s">
        <v>20</v>
      </c>
    </row>
    <row r="162" spans="1:14" x14ac:dyDescent="0.25">
      <c r="A162" s="39" t="s">
        <v>171</v>
      </c>
      <c r="B162" s="40" t="s">
        <v>20</v>
      </c>
    </row>
    <row r="163" spans="1:14" x14ac:dyDescent="0.25">
      <c r="A163" s="39" t="s">
        <v>172</v>
      </c>
      <c r="B163" s="40" t="s">
        <v>20</v>
      </c>
    </row>
    <row r="164" spans="1:14" x14ac:dyDescent="0.25">
      <c r="A164" s="40" t="s">
        <v>522</v>
      </c>
      <c r="B164" s="40" t="s">
        <v>20</v>
      </c>
    </row>
    <row r="165" spans="1:14" x14ac:dyDescent="0.25">
      <c r="A165" s="40" t="s">
        <v>523</v>
      </c>
      <c r="B165" s="40" t="s">
        <v>20</v>
      </c>
    </row>
    <row r="167" spans="1:14" x14ac:dyDescent="0.25">
      <c r="A167" s="2" t="s">
        <v>593</v>
      </c>
    </row>
    <row r="168" spans="1:14" x14ac:dyDescent="0.25">
      <c r="A168" s="41" t="s">
        <v>49</v>
      </c>
      <c r="B168" s="41" t="s">
        <v>7</v>
      </c>
      <c r="C168" s="41" t="s">
        <v>1</v>
      </c>
      <c r="D168" s="41" t="s">
        <v>8</v>
      </c>
      <c r="E168" s="41" t="s">
        <v>9</v>
      </c>
      <c r="F168" s="41" t="s">
        <v>10</v>
      </c>
      <c r="G168" s="41" t="s">
        <v>2</v>
      </c>
      <c r="H168" s="41" t="s">
        <v>23</v>
      </c>
      <c r="I168" s="41" t="s">
        <v>24</v>
      </c>
      <c r="J168" s="41" t="s">
        <v>3</v>
      </c>
      <c r="K168" s="41" t="s">
        <v>25</v>
      </c>
      <c r="L168" s="41" t="s">
        <v>26</v>
      </c>
      <c r="M168" s="41" t="s">
        <v>11</v>
      </c>
      <c r="N168" s="41" t="s">
        <v>13</v>
      </c>
    </row>
    <row r="169" spans="1:14" x14ac:dyDescent="0.25">
      <c r="A169" s="42" t="s">
        <v>409</v>
      </c>
      <c r="B169" s="42" t="s">
        <v>14</v>
      </c>
      <c r="C169" s="42">
        <v>1.2470000000000001</v>
      </c>
      <c r="D169" s="43" t="s">
        <v>534</v>
      </c>
      <c r="E169" s="42" t="s">
        <v>15</v>
      </c>
      <c r="F169" s="43" t="s">
        <v>38</v>
      </c>
      <c r="G169" s="42">
        <v>1.0999999999999999E-2</v>
      </c>
      <c r="H169" s="42" t="s">
        <v>28</v>
      </c>
      <c r="I169" s="43" t="s">
        <v>38</v>
      </c>
      <c r="J169" s="42">
        <v>3.5000000000000003E-2</v>
      </c>
      <c r="K169" s="43" t="s">
        <v>28</v>
      </c>
      <c r="L169" s="43" t="s">
        <v>38</v>
      </c>
      <c r="M169" s="42" t="s">
        <v>52</v>
      </c>
      <c r="N169" s="42" t="s">
        <v>77</v>
      </c>
    </row>
    <row r="170" spans="1:14" x14ac:dyDescent="0.25">
      <c r="A170" s="42" t="s">
        <v>410</v>
      </c>
      <c r="B170" s="42" t="s">
        <v>14</v>
      </c>
      <c r="C170" s="42">
        <v>1.2470000000000001</v>
      </c>
      <c r="D170" s="43" t="s">
        <v>534</v>
      </c>
      <c r="E170" s="42" t="s">
        <v>15</v>
      </c>
      <c r="F170" s="43" t="s">
        <v>38</v>
      </c>
      <c r="G170" s="42">
        <v>1.0999999999999999E-2</v>
      </c>
      <c r="H170" s="42" t="s">
        <v>28</v>
      </c>
      <c r="I170" s="43" t="s">
        <v>38</v>
      </c>
      <c r="J170" s="42">
        <v>3.5000000000000003E-2</v>
      </c>
      <c r="K170" s="43" t="s">
        <v>28</v>
      </c>
      <c r="L170" s="43" t="s">
        <v>38</v>
      </c>
      <c r="M170" s="42" t="s">
        <v>52</v>
      </c>
      <c r="N170" s="42" t="s">
        <v>77</v>
      </c>
    </row>
    <row r="171" spans="1:14" x14ac:dyDescent="0.25">
      <c r="A171" s="42" t="s">
        <v>411</v>
      </c>
      <c r="B171" s="42" t="s">
        <v>14</v>
      </c>
      <c r="C171" s="42">
        <v>0.95499999999999996</v>
      </c>
      <c r="D171" s="43" t="s">
        <v>534</v>
      </c>
      <c r="E171" s="42" t="s">
        <v>15</v>
      </c>
      <c r="F171" s="43" t="s">
        <v>38</v>
      </c>
      <c r="G171" s="42">
        <v>2.5999999999999999E-2</v>
      </c>
      <c r="H171" s="42" t="s">
        <v>28</v>
      </c>
      <c r="I171" s="43" t="s">
        <v>38</v>
      </c>
      <c r="J171" s="42">
        <v>2.3E-2</v>
      </c>
      <c r="K171" s="43" t="s">
        <v>28</v>
      </c>
      <c r="L171" s="43" t="s">
        <v>38</v>
      </c>
      <c r="M171" s="42" t="s">
        <v>52</v>
      </c>
      <c r="N171" s="42" t="s">
        <v>77</v>
      </c>
    </row>
    <row r="172" spans="1:14" x14ac:dyDescent="0.25">
      <c r="A172" s="42" t="s">
        <v>225</v>
      </c>
      <c r="B172" s="42" t="s">
        <v>14</v>
      </c>
      <c r="C172" s="42">
        <v>0.17499999999999999</v>
      </c>
      <c r="D172" s="43" t="s">
        <v>534</v>
      </c>
      <c r="E172" s="42" t="s">
        <v>15</v>
      </c>
      <c r="F172" s="43" t="s">
        <v>38</v>
      </c>
      <c r="G172" s="42">
        <v>5.0000000000000001E-3</v>
      </c>
      <c r="H172" s="42" t="s">
        <v>28</v>
      </c>
      <c r="I172" s="43" t="s">
        <v>38</v>
      </c>
      <c r="J172" s="42">
        <v>3.0000000000000001E-3</v>
      </c>
      <c r="K172" s="43" t="s">
        <v>28</v>
      </c>
      <c r="L172" s="43" t="s">
        <v>38</v>
      </c>
      <c r="M172" s="42" t="s">
        <v>52</v>
      </c>
      <c r="N172" s="42" t="s">
        <v>77</v>
      </c>
    </row>
    <row r="173" spans="1:14" x14ac:dyDescent="0.25">
      <c r="A173" s="42" t="s">
        <v>464</v>
      </c>
      <c r="B173" s="42" t="s">
        <v>14</v>
      </c>
      <c r="C173" s="42">
        <v>0.377</v>
      </c>
      <c r="D173" s="43" t="s">
        <v>534</v>
      </c>
      <c r="E173" s="42" t="s">
        <v>15</v>
      </c>
      <c r="F173" s="43" t="s">
        <v>38</v>
      </c>
      <c r="G173" s="42">
        <v>0</v>
      </c>
      <c r="H173" s="42" t="s">
        <v>28</v>
      </c>
      <c r="I173" s="43" t="s">
        <v>38</v>
      </c>
      <c r="J173" s="42">
        <v>1.9E-2</v>
      </c>
      <c r="K173" s="42" t="s">
        <v>28</v>
      </c>
      <c r="L173" s="43" t="s">
        <v>38</v>
      </c>
      <c r="M173" s="42" t="s">
        <v>52</v>
      </c>
      <c r="N173" s="42" t="s">
        <v>77</v>
      </c>
    </row>
    <row r="176" spans="1:14" x14ac:dyDescent="0.25">
      <c r="B176" s="4"/>
      <c r="C176" s="4"/>
      <c r="D176" s="4"/>
    </row>
    <row r="177" spans="1:1" x14ac:dyDescent="0.25">
      <c r="A177" s="4"/>
    </row>
    <row r="178" spans="1:1" x14ac:dyDescent="0.25">
      <c r="A178" s="4"/>
    </row>
  </sheetData>
  <phoneticPr fontId="1" type="noConversion"/>
  <pageMargins left="0.7" right="0.7" top="0.75" bottom="0.75" header="0.3" footer="0.3"/>
  <pageSetup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1">
    <tabColor theme="5" tint="0.79998168889431442"/>
  </sheetPr>
  <dimension ref="A1:R94"/>
  <sheetViews>
    <sheetView workbookViewId="0"/>
  </sheetViews>
  <sheetFormatPr defaultColWidth="39.33203125" defaultRowHeight="13.2" x14ac:dyDescent="0.25"/>
  <cols>
    <col min="1" max="1" width="45.44140625" customWidth="1"/>
    <col min="2" max="2" width="8.5546875" customWidth="1"/>
    <col min="3" max="3" width="12" bestFit="1" customWidth="1"/>
    <col min="4" max="4" width="14.109375" customWidth="1"/>
    <col min="5" max="5" width="14.44140625" customWidth="1"/>
    <col min="6" max="6" width="14.5546875" customWidth="1"/>
    <col min="7" max="7" width="15.6640625" customWidth="1"/>
    <col min="8" max="8" width="13.33203125" customWidth="1"/>
    <col min="9" max="9" width="14.44140625" customWidth="1"/>
    <col min="10" max="10" width="17.6640625" bestFit="1" customWidth="1"/>
    <col min="11" max="11" width="16.5546875" customWidth="1"/>
    <col min="12" max="12" width="13.109375" customWidth="1"/>
    <col min="13" max="13" width="12.6640625" customWidth="1"/>
    <col min="14" max="14" width="14.33203125" customWidth="1"/>
    <col min="15" max="15" width="15" customWidth="1"/>
    <col min="16" max="16" width="15.88671875" customWidth="1"/>
    <col min="17" max="17" width="14.109375" customWidth="1"/>
  </cols>
  <sheetData>
    <row r="1" spans="1:18" x14ac:dyDescent="0.25">
      <c r="A1" s="2" t="s">
        <v>174</v>
      </c>
      <c r="B1" s="3"/>
      <c r="C1" s="3"/>
      <c r="D1" s="3"/>
      <c r="E1" s="3"/>
      <c r="F1" s="3"/>
      <c r="G1" s="3"/>
      <c r="H1" s="3"/>
      <c r="I1" s="3"/>
    </row>
    <row r="2" spans="1:18" x14ac:dyDescent="0.25">
      <c r="A2" s="4"/>
    </row>
    <row r="3" spans="1:18" s="50" customFormat="1" ht="28.8" x14ac:dyDescent="0.25">
      <c r="A3" s="49" t="s">
        <v>0</v>
      </c>
      <c r="B3" s="49" t="s">
        <v>7</v>
      </c>
      <c r="C3" s="123" t="s">
        <v>694</v>
      </c>
      <c r="D3" s="123" t="s">
        <v>695</v>
      </c>
      <c r="E3" s="123" t="s">
        <v>696</v>
      </c>
      <c r="F3" s="123" t="s">
        <v>697</v>
      </c>
      <c r="G3" s="49" t="s">
        <v>11</v>
      </c>
      <c r="H3" s="49" t="s">
        <v>12</v>
      </c>
      <c r="I3" s="49" t="s">
        <v>13</v>
      </c>
      <c r="J3" s="152"/>
      <c r="K3" s="152"/>
      <c r="L3" s="152"/>
      <c r="M3" s="152"/>
      <c r="N3" s="152"/>
      <c r="O3" s="152"/>
      <c r="P3" s="152"/>
      <c r="R3"/>
    </row>
    <row r="4" spans="1:18" x14ac:dyDescent="0.25">
      <c r="A4" s="39" t="s">
        <v>153</v>
      </c>
      <c r="B4" s="40" t="s">
        <v>121</v>
      </c>
      <c r="C4" s="128">
        <v>2.5715891930835735</v>
      </c>
      <c r="D4" s="40" t="s">
        <v>534</v>
      </c>
      <c r="E4" s="40" t="s">
        <v>15</v>
      </c>
      <c r="F4" s="40" t="s">
        <v>60</v>
      </c>
      <c r="G4" s="39"/>
      <c r="H4" s="40" t="s">
        <v>533</v>
      </c>
      <c r="I4" s="40" t="s">
        <v>6</v>
      </c>
    </row>
    <row r="5" spans="1:18" x14ac:dyDescent="0.25">
      <c r="A5" s="39" t="s">
        <v>19</v>
      </c>
      <c r="B5" s="40" t="s">
        <v>121</v>
      </c>
      <c r="C5" s="128">
        <v>2.1845267698100002</v>
      </c>
      <c r="D5" s="40" t="s">
        <v>534</v>
      </c>
      <c r="E5" s="40" t="s">
        <v>15</v>
      </c>
      <c r="F5" s="40" t="s">
        <v>60</v>
      </c>
      <c r="G5" s="39"/>
      <c r="H5" s="40" t="s">
        <v>533</v>
      </c>
      <c r="I5" s="40" t="s">
        <v>6</v>
      </c>
    </row>
    <row r="6" spans="1:18" x14ac:dyDescent="0.25">
      <c r="A6" s="40" t="s">
        <v>154</v>
      </c>
      <c r="B6" s="40" t="s">
        <v>121</v>
      </c>
      <c r="C6" s="128">
        <v>2.2881942548942398</v>
      </c>
      <c r="D6" s="40" t="s">
        <v>534</v>
      </c>
      <c r="E6" s="40" t="s">
        <v>15</v>
      </c>
      <c r="F6" s="40" t="s">
        <v>60</v>
      </c>
      <c r="G6" s="39"/>
      <c r="H6" s="40" t="s">
        <v>533</v>
      </c>
      <c r="I6" s="39"/>
    </row>
    <row r="7" spans="1:18" x14ac:dyDescent="0.25">
      <c r="A7" s="40" t="s">
        <v>17</v>
      </c>
      <c r="B7" s="40" t="s">
        <v>121</v>
      </c>
      <c r="C7" s="128">
        <v>2.9099857336212001</v>
      </c>
      <c r="D7" s="40" t="s">
        <v>534</v>
      </c>
      <c r="E7" s="40" t="s">
        <v>15</v>
      </c>
      <c r="F7" s="40" t="s">
        <v>60</v>
      </c>
      <c r="G7" s="39"/>
      <c r="H7" s="40" t="s">
        <v>533</v>
      </c>
      <c r="I7" s="39"/>
    </row>
    <row r="8" spans="1:18" x14ac:dyDescent="0.25">
      <c r="A8" s="39" t="s">
        <v>155</v>
      </c>
      <c r="B8" s="40" t="s">
        <v>121</v>
      </c>
      <c r="C8" s="128">
        <v>3.00526836659856</v>
      </c>
      <c r="D8" s="40" t="s">
        <v>534</v>
      </c>
      <c r="E8" s="40" t="s">
        <v>15</v>
      </c>
      <c r="F8" s="40" t="s">
        <v>60</v>
      </c>
      <c r="G8" s="39"/>
      <c r="H8" s="40" t="s">
        <v>533</v>
      </c>
      <c r="I8" s="39"/>
    </row>
    <row r="9" spans="1:18" x14ac:dyDescent="0.25">
      <c r="A9" s="39" t="s">
        <v>156</v>
      </c>
      <c r="B9" s="40" t="s">
        <v>121</v>
      </c>
      <c r="C9" s="128">
        <v>1.4730559644227414</v>
      </c>
      <c r="D9" s="40" t="s">
        <v>534</v>
      </c>
      <c r="E9" s="40" t="s">
        <v>15</v>
      </c>
      <c r="F9" s="40" t="s">
        <v>60</v>
      </c>
      <c r="G9" s="39"/>
      <c r="H9" s="40" t="s">
        <v>533</v>
      </c>
      <c r="I9" s="39"/>
    </row>
    <row r="10" spans="1:18" x14ac:dyDescent="0.25">
      <c r="A10" s="40" t="s">
        <v>157</v>
      </c>
      <c r="B10" s="40" t="s">
        <v>121</v>
      </c>
      <c r="C10" s="128">
        <v>1.8849600000000002</v>
      </c>
      <c r="D10" s="40" t="s">
        <v>534</v>
      </c>
      <c r="E10" s="40" t="s">
        <v>15</v>
      </c>
      <c r="F10" s="40" t="s">
        <v>60</v>
      </c>
      <c r="G10" s="39"/>
      <c r="H10" s="40" t="s">
        <v>533</v>
      </c>
      <c r="I10" s="39"/>
    </row>
    <row r="11" spans="1:18" x14ac:dyDescent="0.25">
      <c r="A11" s="39" t="s">
        <v>158</v>
      </c>
      <c r="B11" s="40" t="s">
        <v>14</v>
      </c>
      <c r="C11" s="40">
        <v>9.75</v>
      </c>
      <c r="D11" s="40" t="s">
        <v>534</v>
      </c>
      <c r="E11" s="40" t="s">
        <v>15</v>
      </c>
      <c r="F11" s="40" t="s">
        <v>58</v>
      </c>
      <c r="G11" s="39"/>
      <c r="H11" s="40" t="s">
        <v>16</v>
      </c>
      <c r="I11" s="39" t="s">
        <v>6</v>
      </c>
    </row>
    <row r="12" spans="1:18" x14ac:dyDescent="0.25">
      <c r="A12" s="39" t="s">
        <v>19</v>
      </c>
      <c r="B12" s="40" t="s">
        <v>14</v>
      </c>
      <c r="C12" s="40">
        <v>8.31</v>
      </c>
      <c r="D12" s="40" t="s">
        <v>534</v>
      </c>
      <c r="E12" s="40" t="s">
        <v>15</v>
      </c>
      <c r="F12" s="40" t="s">
        <v>58</v>
      </c>
      <c r="G12" s="39"/>
      <c r="H12" s="40" t="s">
        <v>16</v>
      </c>
      <c r="I12" s="39" t="s">
        <v>6</v>
      </c>
    </row>
    <row r="13" spans="1:18" x14ac:dyDescent="0.25">
      <c r="A13" s="40" t="s">
        <v>159</v>
      </c>
      <c r="B13" s="40" t="s">
        <v>14</v>
      </c>
      <c r="C13" s="40">
        <v>8.7799999999999994</v>
      </c>
      <c r="D13" s="40" t="s">
        <v>534</v>
      </c>
      <c r="E13" s="40" t="s">
        <v>15</v>
      </c>
      <c r="F13" s="40" t="s">
        <v>58</v>
      </c>
      <c r="G13" s="39"/>
      <c r="H13" s="40" t="s">
        <v>16</v>
      </c>
      <c r="I13" s="39"/>
    </row>
    <row r="14" spans="1:18" x14ac:dyDescent="0.25">
      <c r="A14" s="40" t="s">
        <v>160</v>
      </c>
      <c r="B14" s="40" t="s">
        <v>14</v>
      </c>
      <c r="C14" s="40">
        <v>10.210000000000001</v>
      </c>
      <c r="D14" s="40" t="s">
        <v>534</v>
      </c>
      <c r="E14" s="40" t="s">
        <v>15</v>
      </c>
      <c r="F14" s="40" t="s">
        <v>58</v>
      </c>
      <c r="G14" s="39"/>
      <c r="H14" s="40" t="s">
        <v>16</v>
      </c>
      <c r="I14" s="39"/>
    </row>
    <row r="15" spans="1:18" x14ac:dyDescent="0.25">
      <c r="A15" s="40" t="s">
        <v>155</v>
      </c>
      <c r="B15" s="40" t="s">
        <v>14</v>
      </c>
      <c r="C15" s="40">
        <v>11.27</v>
      </c>
      <c r="D15" s="40" t="s">
        <v>534</v>
      </c>
      <c r="E15" s="40" t="s">
        <v>15</v>
      </c>
      <c r="F15" s="40" t="s">
        <v>58</v>
      </c>
      <c r="G15" s="39"/>
      <c r="H15" s="40" t="s">
        <v>16</v>
      </c>
      <c r="I15" s="39"/>
    </row>
    <row r="16" spans="1:18" x14ac:dyDescent="0.25">
      <c r="A16" s="40" t="s">
        <v>156</v>
      </c>
      <c r="B16" s="40" t="s">
        <v>14</v>
      </c>
      <c r="C16" s="40">
        <v>5.68</v>
      </c>
      <c r="D16" s="40" t="s">
        <v>534</v>
      </c>
      <c r="E16" s="40" t="s">
        <v>15</v>
      </c>
      <c r="F16" s="40" t="s">
        <v>58</v>
      </c>
      <c r="G16" s="39"/>
      <c r="H16" s="40" t="s">
        <v>16</v>
      </c>
      <c r="I16" s="40"/>
    </row>
    <row r="17" spans="1:9" x14ac:dyDescent="0.25">
      <c r="A17" s="40" t="s">
        <v>157</v>
      </c>
      <c r="B17" s="40" t="s">
        <v>14</v>
      </c>
      <c r="C17" s="40">
        <v>5.4440000000000002E-2</v>
      </c>
      <c r="D17" s="40" t="s">
        <v>534</v>
      </c>
      <c r="E17" s="40" t="s">
        <v>15</v>
      </c>
      <c r="F17" s="40" t="s">
        <v>173</v>
      </c>
      <c r="G17" s="39"/>
      <c r="H17" s="40" t="s">
        <v>16</v>
      </c>
      <c r="I17" s="40"/>
    </row>
    <row r="18" spans="1:9" x14ac:dyDescent="0.25">
      <c r="A18" s="40" t="s">
        <v>161</v>
      </c>
      <c r="B18" s="40" t="s">
        <v>14</v>
      </c>
      <c r="C18" s="40">
        <v>4.5</v>
      </c>
      <c r="D18" s="40" t="s">
        <v>534</v>
      </c>
      <c r="E18" s="40" t="s">
        <v>15</v>
      </c>
      <c r="F18" s="40" t="s">
        <v>58</v>
      </c>
      <c r="G18" s="39"/>
      <c r="H18" s="40" t="s">
        <v>16</v>
      </c>
      <c r="I18" s="39"/>
    </row>
    <row r="19" spans="1:9" x14ac:dyDescent="0.25">
      <c r="A19" s="40" t="s">
        <v>162</v>
      </c>
      <c r="B19" s="40" t="s">
        <v>14</v>
      </c>
      <c r="C19" s="40"/>
      <c r="D19" s="39">
        <v>5.75</v>
      </c>
      <c r="E19" s="40" t="s">
        <v>15</v>
      </c>
      <c r="F19" s="40" t="s">
        <v>58</v>
      </c>
      <c r="G19" s="39"/>
      <c r="H19" s="40" t="s">
        <v>16</v>
      </c>
      <c r="I19" s="39"/>
    </row>
    <row r="20" spans="1:9" x14ac:dyDescent="0.25">
      <c r="A20" s="40" t="s">
        <v>163</v>
      </c>
      <c r="B20" s="40" t="s">
        <v>14</v>
      </c>
      <c r="C20" s="40"/>
      <c r="D20" s="39">
        <v>9.4499999999999993</v>
      </c>
      <c r="E20" s="40" t="s">
        <v>15</v>
      </c>
      <c r="F20" s="40" t="s">
        <v>58</v>
      </c>
      <c r="G20" s="39"/>
      <c r="H20" s="40" t="s">
        <v>16</v>
      </c>
      <c r="I20" s="39"/>
    </row>
    <row r="21" spans="1:9" x14ac:dyDescent="0.25">
      <c r="A21" s="40" t="s">
        <v>522</v>
      </c>
      <c r="B21" s="40" t="s">
        <v>14</v>
      </c>
      <c r="C21" s="40">
        <v>1.3169999999999999</v>
      </c>
      <c r="D21" s="39">
        <v>4.8875000000000002</v>
      </c>
      <c r="E21" s="40" t="s">
        <v>15</v>
      </c>
      <c r="F21" s="40" t="s">
        <v>58</v>
      </c>
      <c r="G21" s="39"/>
      <c r="H21" s="40" t="s">
        <v>16</v>
      </c>
      <c r="I21" s="39"/>
    </row>
    <row r="22" spans="1:9" x14ac:dyDescent="0.25">
      <c r="A22" s="40" t="s">
        <v>523</v>
      </c>
      <c r="B22" s="40" t="s">
        <v>14</v>
      </c>
      <c r="C22" s="40">
        <v>8.168000000000001</v>
      </c>
      <c r="D22" s="39">
        <v>1.89</v>
      </c>
      <c r="E22" s="40" t="s">
        <v>15</v>
      </c>
      <c r="F22" s="40" t="s">
        <v>58</v>
      </c>
      <c r="G22" s="39"/>
      <c r="H22" s="40" t="s">
        <v>16</v>
      </c>
      <c r="I22" s="39"/>
    </row>
    <row r="23" spans="1:9" x14ac:dyDescent="0.25">
      <c r="A23" s="40" t="s">
        <v>164</v>
      </c>
      <c r="B23" s="40" t="s">
        <v>20</v>
      </c>
      <c r="C23" s="40">
        <v>2.2829700000000002</v>
      </c>
      <c r="D23" s="40" t="s">
        <v>534</v>
      </c>
      <c r="E23" s="40" t="s">
        <v>15</v>
      </c>
      <c r="F23" s="40" t="s">
        <v>60</v>
      </c>
      <c r="G23" s="39"/>
      <c r="H23" s="40" t="s">
        <v>16</v>
      </c>
      <c r="I23" s="39" t="s">
        <v>6</v>
      </c>
    </row>
    <row r="24" spans="1:9" x14ac:dyDescent="0.25">
      <c r="A24" s="40" t="s">
        <v>165</v>
      </c>
      <c r="B24" s="40" t="s">
        <v>20</v>
      </c>
      <c r="C24" s="40">
        <v>2.51973</v>
      </c>
      <c r="D24" s="40" t="s">
        <v>534</v>
      </c>
      <c r="E24" s="40" t="s">
        <v>15</v>
      </c>
      <c r="F24" s="40" t="s">
        <v>60</v>
      </c>
      <c r="G24" s="39"/>
      <c r="H24" s="40" t="s">
        <v>16</v>
      </c>
      <c r="I24" s="39" t="s">
        <v>6</v>
      </c>
    </row>
    <row r="25" spans="1:9" x14ac:dyDescent="0.25">
      <c r="A25" s="40" t="s">
        <v>166</v>
      </c>
      <c r="B25" s="40" t="s">
        <v>20</v>
      </c>
      <c r="C25" s="40">
        <v>2.6259999999999999</v>
      </c>
      <c r="D25" s="40" t="s">
        <v>534</v>
      </c>
      <c r="E25" s="40" t="s">
        <v>15</v>
      </c>
      <c r="F25" s="40" t="s">
        <v>60</v>
      </c>
      <c r="G25" s="39"/>
      <c r="H25" s="40" t="s">
        <v>16</v>
      </c>
      <c r="I25" s="39"/>
    </row>
    <row r="26" spans="1:9" x14ac:dyDescent="0.25">
      <c r="A26" s="40" t="s">
        <v>167</v>
      </c>
      <c r="B26" s="40" t="s">
        <v>20</v>
      </c>
      <c r="C26" s="40">
        <v>3.16262</v>
      </c>
      <c r="D26" s="40" t="s">
        <v>534</v>
      </c>
      <c r="E26" s="40" t="s">
        <v>15</v>
      </c>
      <c r="F26" s="40" t="s">
        <v>60</v>
      </c>
      <c r="G26" s="39"/>
      <c r="H26" s="40" t="s">
        <v>16</v>
      </c>
      <c r="I26" s="39"/>
    </row>
    <row r="27" spans="1:9" x14ac:dyDescent="0.25">
      <c r="A27" s="40" t="s">
        <v>168</v>
      </c>
      <c r="B27" s="40" t="s">
        <v>20</v>
      </c>
      <c r="C27" s="40">
        <v>2.3308599999999999</v>
      </c>
      <c r="D27" s="40" t="s">
        <v>534</v>
      </c>
      <c r="E27" s="40" t="s">
        <v>15</v>
      </c>
      <c r="F27" s="40" t="s">
        <v>60</v>
      </c>
      <c r="G27" s="39"/>
      <c r="H27" s="40" t="s">
        <v>16</v>
      </c>
      <c r="I27" s="39"/>
    </row>
    <row r="28" spans="1:9" x14ac:dyDescent="0.25">
      <c r="A28" s="39" t="s">
        <v>169</v>
      </c>
      <c r="B28" s="40" t="s">
        <v>20</v>
      </c>
      <c r="C28" s="40">
        <v>3.16262</v>
      </c>
      <c r="D28" s="40" t="s">
        <v>534</v>
      </c>
      <c r="E28" s="40" t="s">
        <v>15</v>
      </c>
      <c r="F28" s="40" t="s">
        <v>60</v>
      </c>
      <c r="G28" s="39"/>
      <c r="H28" s="40" t="s">
        <v>16</v>
      </c>
      <c r="I28" s="40"/>
    </row>
    <row r="29" spans="1:9" x14ac:dyDescent="0.25">
      <c r="A29" s="39" t="s">
        <v>157</v>
      </c>
      <c r="B29" s="40" t="s">
        <v>20</v>
      </c>
      <c r="C29" s="40">
        <v>0.44757000000000002</v>
      </c>
      <c r="D29" s="40" t="s">
        <v>534</v>
      </c>
      <c r="E29" s="40" t="s">
        <v>15</v>
      </c>
      <c r="F29" s="40" t="s">
        <v>60</v>
      </c>
      <c r="G29" s="39"/>
      <c r="H29" s="40" t="s">
        <v>16</v>
      </c>
      <c r="I29" s="40"/>
    </row>
    <row r="30" spans="1:9" x14ac:dyDescent="0.25">
      <c r="A30" s="40" t="s">
        <v>161</v>
      </c>
      <c r="B30" s="40" t="s">
        <v>20</v>
      </c>
      <c r="C30" s="40">
        <v>1.16604</v>
      </c>
      <c r="D30" s="40" t="s">
        <v>534</v>
      </c>
      <c r="E30" s="40" t="s">
        <v>15</v>
      </c>
      <c r="F30" s="40" t="s">
        <v>60</v>
      </c>
      <c r="G30" s="39"/>
      <c r="H30" s="40" t="s">
        <v>16</v>
      </c>
      <c r="I30" s="39"/>
    </row>
    <row r="31" spans="1:9" x14ac:dyDescent="0.25">
      <c r="A31" s="40" t="s">
        <v>156</v>
      </c>
      <c r="B31" s="40" t="s">
        <v>20</v>
      </c>
      <c r="C31" s="40">
        <v>1.55491</v>
      </c>
      <c r="D31" s="40" t="s">
        <v>534</v>
      </c>
      <c r="E31" s="40" t="s">
        <v>15</v>
      </c>
      <c r="F31" s="40" t="s">
        <v>60</v>
      </c>
      <c r="G31" s="39"/>
      <c r="H31" s="40" t="s">
        <v>16</v>
      </c>
      <c r="I31" s="39"/>
    </row>
    <row r="32" spans="1:9" x14ac:dyDescent="0.25">
      <c r="A32" s="39" t="s">
        <v>170</v>
      </c>
      <c r="B32" s="40" t="s">
        <v>20</v>
      </c>
      <c r="C32" s="40">
        <v>2.0498099999999999</v>
      </c>
      <c r="D32" s="40" t="s">
        <v>534</v>
      </c>
      <c r="E32" s="40" t="s">
        <v>15</v>
      </c>
      <c r="F32" s="40" t="s">
        <v>63</v>
      </c>
      <c r="G32" s="39"/>
      <c r="H32" s="40" t="s">
        <v>16</v>
      </c>
      <c r="I32" s="39"/>
    </row>
    <row r="33" spans="1:18" x14ac:dyDescent="0.25">
      <c r="A33" s="39" t="s">
        <v>171</v>
      </c>
      <c r="B33" s="40" t="s">
        <v>20</v>
      </c>
      <c r="C33" s="40"/>
      <c r="D33" s="39">
        <v>1.52</v>
      </c>
      <c r="E33" s="40" t="s">
        <v>15</v>
      </c>
      <c r="F33" s="40" t="s">
        <v>60</v>
      </c>
      <c r="G33" s="39"/>
      <c r="H33" s="40" t="s">
        <v>16</v>
      </c>
      <c r="I33" s="39"/>
    </row>
    <row r="34" spans="1:18" x14ac:dyDescent="0.25">
      <c r="A34" s="39" t="s">
        <v>172</v>
      </c>
      <c r="B34" s="40" t="s">
        <v>20</v>
      </c>
      <c r="C34" s="40"/>
      <c r="D34" s="39">
        <v>2.39</v>
      </c>
      <c r="E34" s="40" t="s">
        <v>15</v>
      </c>
      <c r="F34" s="40" t="s">
        <v>60</v>
      </c>
      <c r="G34" s="39"/>
      <c r="H34" s="40" t="s">
        <v>16</v>
      </c>
      <c r="I34" s="39"/>
    </row>
    <row r="35" spans="1:18" x14ac:dyDescent="0.25">
      <c r="A35" s="40" t="s">
        <v>522</v>
      </c>
      <c r="B35" s="40" t="s">
        <v>20</v>
      </c>
      <c r="C35" s="40">
        <v>0.34962899999999997</v>
      </c>
      <c r="D35" s="39">
        <v>1.292</v>
      </c>
      <c r="E35" s="40" t="s">
        <v>15</v>
      </c>
      <c r="F35" s="40" t="s">
        <v>60</v>
      </c>
      <c r="G35" s="39"/>
      <c r="H35" s="40" t="s">
        <v>16</v>
      </c>
      <c r="I35" s="39"/>
    </row>
    <row r="36" spans="1:18" x14ac:dyDescent="0.25">
      <c r="A36" s="40" t="s">
        <v>523</v>
      </c>
      <c r="B36" s="40" t="s">
        <v>20</v>
      </c>
      <c r="C36" s="40">
        <v>2.1008</v>
      </c>
      <c r="D36" s="39">
        <v>0.47800000000000004</v>
      </c>
      <c r="E36" s="40" t="s">
        <v>15</v>
      </c>
      <c r="F36" s="40" t="s">
        <v>60</v>
      </c>
      <c r="G36" s="39"/>
      <c r="H36" s="40" t="s">
        <v>16</v>
      </c>
      <c r="I36" s="39"/>
    </row>
    <row r="37" spans="1:18" x14ac:dyDescent="0.25">
      <c r="A37" s="4"/>
      <c r="B37" s="4"/>
      <c r="E37" s="4"/>
      <c r="F37" s="4"/>
    </row>
    <row r="38" spans="1:18" x14ac:dyDescent="0.25">
      <c r="A38" s="2" t="s">
        <v>21</v>
      </c>
      <c r="B38" s="3"/>
      <c r="C38" s="3"/>
      <c r="D38" s="3"/>
      <c r="E38" s="3"/>
      <c r="F38" s="3"/>
      <c r="G38" s="3"/>
      <c r="H38" s="3"/>
      <c r="I38" s="3"/>
      <c r="J38" s="3"/>
      <c r="K38" s="3"/>
      <c r="L38" s="3"/>
      <c r="M38" s="3"/>
      <c r="N38" s="3"/>
      <c r="O38" s="3"/>
      <c r="P38" s="3"/>
    </row>
    <row r="39" spans="1:18" ht="13.8" thickBot="1" x14ac:dyDescent="0.3"/>
    <row r="40" spans="1:18" s="142" customFormat="1" ht="27" thickBot="1" x14ac:dyDescent="0.3">
      <c r="A40" s="123" t="s">
        <v>22</v>
      </c>
      <c r="B40" s="123" t="s">
        <v>7</v>
      </c>
      <c r="C40" s="123" t="s">
        <v>2</v>
      </c>
      <c r="D40" s="123" t="s">
        <v>23</v>
      </c>
      <c r="E40" s="123" t="s">
        <v>24</v>
      </c>
      <c r="F40" s="123" t="s">
        <v>3</v>
      </c>
      <c r="G40" s="123" t="s">
        <v>25</v>
      </c>
      <c r="H40" s="123" t="s">
        <v>26</v>
      </c>
      <c r="I40" s="123" t="s">
        <v>11</v>
      </c>
      <c r="J40" s="153" t="s">
        <v>13</v>
      </c>
      <c r="K40" s="154" t="s">
        <v>687</v>
      </c>
      <c r="L40" s="154" t="s">
        <v>685</v>
      </c>
      <c r="M40" s="154" t="s">
        <v>686</v>
      </c>
      <c r="N40" s="155" t="s">
        <v>699</v>
      </c>
      <c r="O40" s="156" t="s">
        <v>700</v>
      </c>
      <c r="P40" s="123" t="s">
        <v>688</v>
      </c>
      <c r="Q40" s="12"/>
      <c r="R40" s="12"/>
    </row>
    <row r="41" spans="1:18" ht="13.8" thickBot="1" x14ac:dyDescent="0.3">
      <c r="A41" s="139" t="s">
        <v>691</v>
      </c>
      <c r="K41" s="379"/>
      <c r="L41" s="380"/>
      <c r="M41" s="381"/>
    </row>
    <row r="42" spans="1:18" ht="13.8" x14ac:dyDescent="0.25">
      <c r="A42" s="43" t="s">
        <v>175</v>
      </c>
      <c r="B42" s="42" t="s">
        <v>121</v>
      </c>
      <c r="C42" s="130">
        <f>(N42*P42)/1000</f>
        <v>0.16297490950780003</v>
      </c>
      <c r="D42" s="42" t="s">
        <v>28</v>
      </c>
      <c r="E42" s="43" t="s">
        <v>60</v>
      </c>
      <c r="F42" s="130">
        <f>(O42*P42)/1000</f>
        <v>1.1231523884151999</v>
      </c>
      <c r="G42" s="42" t="s">
        <v>28</v>
      </c>
      <c r="H42" s="43" t="s">
        <v>60</v>
      </c>
      <c r="I42" s="42"/>
      <c r="J42" s="157" t="s">
        <v>5</v>
      </c>
      <c r="K42" s="148">
        <v>4.1500000000000004</v>
      </c>
      <c r="L42" s="148">
        <v>28.6</v>
      </c>
      <c r="M42" s="151">
        <v>43</v>
      </c>
      <c r="N42" s="144">
        <f>K42*M42</f>
        <v>178.45000000000002</v>
      </c>
      <c r="O42" s="145">
        <f>L42*M42</f>
        <v>1229.8</v>
      </c>
      <c r="P42" s="146">
        <v>0.91328052400000004</v>
      </c>
    </row>
    <row r="43" spans="1:18" ht="13.8" x14ac:dyDescent="0.25">
      <c r="A43" s="42" t="s">
        <v>176</v>
      </c>
      <c r="B43" s="42" t="s">
        <v>121</v>
      </c>
      <c r="C43" s="130">
        <f t="shared" ref="C43:C53" si="0">(N43*P43)/1000</f>
        <v>0.16297490950780003</v>
      </c>
      <c r="D43" s="42" t="s">
        <v>28</v>
      </c>
      <c r="E43" s="43" t="s">
        <v>60</v>
      </c>
      <c r="F43" s="130">
        <f t="shared" ref="F43:F53" si="1">(O43*P43)/1000</f>
        <v>1.1231523884151999</v>
      </c>
      <c r="G43" s="42" t="s">
        <v>28</v>
      </c>
      <c r="H43" s="43" t="s">
        <v>60</v>
      </c>
      <c r="I43" s="42"/>
      <c r="J43" s="158" t="s">
        <v>489</v>
      </c>
      <c r="K43" s="149">
        <v>4.1500000000000004</v>
      </c>
      <c r="L43" s="149">
        <v>28.6</v>
      </c>
      <c r="M43" s="143">
        <v>43</v>
      </c>
      <c r="N43" s="144">
        <f t="shared" ref="N43:N53" si="2">K43*M43</f>
        <v>178.45000000000002</v>
      </c>
      <c r="O43" s="145">
        <f>L43*M43</f>
        <v>1229.8</v>
      </c>
      <c r="P43" s="146">
        <v>0.91328052400000004</v>
      </c>
    </row>
    <row r="44" spans="1:18" ht="13.8" x14ac:dyDescent="0.25">
      <c r="A44" s="42" t="s">
        <v>177</v>
      </c>
      <c r="B44" s="42" t="s">
        <v>121</v>
      </c>
      <c r="C44" s="130">
        <f t="shared" si="0"/>
        <v>0.16297490950780003</v>
      </c>
      <c r="D44" s="42" t="s">
        <v>28</v>
      </c>
      <c r="E44" s="43" t="s">
        <v>60</v>
      </c>
      <c r="F44" s="130">
        <f t="shared" si="1"/>
        <v>1.1231523884151999</v>
      </c>
      <c r="G44" s="42" t="s">
        <v>28</v>
      </c>
      <c r="H44" s="43" t="s">
        <v>60</v>
      </c>
      <c r="I44" s="42"/>
      <c r="J44" s="158" t="s">
        <v>489</v>
      </c>
      <c r="K44" s="149">
        <v>4.1500000000000004</v>
      </c>
      <c r="L44" s="149">
        <v>28.6</v>
      </c>
      <c r="M44" s="143">
        <v>43</v>
      </c>
      <c r="N44" s="144">
        <f t="shared" si="2"/>
        <v>178.45000000000002</v>
      </c>
      <c r="O44" s="145">
        <f t="shared" ref="O44:O53" si="3">L44*M44</f>
        <v>1229.8</v>
      </c>
      <c r="P44" s="146">
        <v>0.91328052400000004</v>
      </c>
    </row>
    <row r="45" spans="1:18" ht="13.8" x14ac:dyDescent="0.25">
      <c r="A45" s="42" t="s">
        <v>178</v>
      </c>
      <c r="B45" s="42" t="s">
        <v>121</v>
      </c>
      <c r="C45" s="130">
        <f t="shared" si="0"/>
        <v>0.16297490950780003</v>
      </c>
      <c r="D45" s="42" t="s">
        <v>28</v>
      </c>
      <c r="E45" s="43" t="s">
        <v>60</v>
      </c>
      <c r="F45" s="130">
        <f t="shared" si="1"/>
        <v>1.1231523884151999</v>
      </c>
      <c r="G45" s="42" t="s">
        <v>28</v>
      </c>
      <c r="H45" s="43" t="s">
        <v>60</v>
      </c>
      <c r="I45" s="42"/>
      <c r="J45" s="158" t="s">
        <v>489</v>
      </c>
      <c r="K45" s="149">
        <v>4.1500000000000004</v>
      </c>
      <c r="L45" s="149">
        <v>28.6</v>
      </c>
      <c r="M45" s="143">
        <v>43</v>
      </c>
      <c r="N45" s="144">
        <f t="shared" si="2"/>
        <v>178.45000000000002</v>
      </c>
      <c r="O45" s="145">
        <f t="shared" si="3"/>
        <v>1229.8</v>
      </c>
      <c r="P45" s="146">
        <v>0.91328052400000004</v>
      </c>
    </row>
    <row r="46" spans="1:18" ht="13.8" x14ac:dyDescent="0.25">
      <c r="A46" s="42" t="s">
        <v>179</v>
      </c>
      <c r="B46" s="42" t="s">
        <v>121</v>
      </c>
      <c r="C46" s="130">
        <f t="shared" si="0"/>
        <v>0.16297490950780003</v>
      </c>
      <c r="D46" s="42" t="s">
        <v>28</v>
      </c>
      <c r="E46" s="43" t="s">
        <v>60</v>
      </c>
      <c r="F46" s="130">
        <f t="shared" si="1"/>
        <v>1.1231523884151999</v>
      </c>
      <c r="G46" s="42" t="s">
        <v>28</v>
      </c>
      <c r="H46" s="43" t="s">
        <v>60</v>
      </c>
      <c r="I46" s="42"/>
      <c r="J46" s="158" t="s">
        <v>489</v>
      </c>
      <c r="K46" s="149">
        <v>4.1500000000000004</v>
      </c>
      <c r="L46" s="149">
        <v>28.6</v>
      </c>
      <c r="M46" s="143">
        <v>43</v>
      </c>
      <c r="N46" s="144">
        <f t="shared" si="2"/>
        <v>178.45000000000002</v>
      </c>
      <c r="O46" s="145">
        <f t="shared" si="3"/>
        <v>1229.8</v>
      </c>
      <c r="P46" s="146">
        <v>0.91328052400000004</v>
      </c>
    </row>
    <row r="47" spans="1:18" ht="13.8" x14ac:dyDescent="0.25">
      <c r="A47" s="42" t="s">
        <v>198</v>
      </c>
      <c r="B47" s="42" t="s">
        <v>121</v>
      </c>
      <c r="C47" s="130">
        <f t="shared" si="0"/>
        <v>2.6579999999999999</v>
      </c>
      <c r="D47" s="42" t="s">
        <v>28</v>
      </c>
      <c r="E47" s="43" t="s">
        <v>60</v>
      </c>
      <c r="F47" s="131">
        <f t="shared" si="1"/>
        <v>6.6449999999999995E-2</v>
      </c>
      <c r="G47" s="42" t="s">
        <v>28</v>
      </c>
      <c r="H47" s="43" t="s">
        <v>60</v>
      </c>
      <c r="I47" s="42"/>
      <c r="J47" s="158" t="s">
        <v>489</v>
      </c>
      <c r="K47" s="149">
        <v>80</v>
      </c>
      <c r="L47" s="149">
        <v>2</v>
      </c>
      <c r="M47" s="143">
        <v>44.3</v>
      </c>
      <c r="N47" s="144">
        <f t="shared" si="2"/>
        <v>3544</v>
      </c>
      <c r="O47" s="145">
        <f t="shared" si="3"/>
        <v>88.6</v>
      </c>
      <c r="P47" s="146">
        <v>0.75</v>
      </c>
    </row>
    <row r="48" spans="1:18" ht="13.8" x14ac:dyDescent="0.25">
      <c r="A48" s="42" t="s">
        <v>199</v>
      </c>
      <c r="B48" s="42" t="s">
        <v>121</v>
      </c>
      <c r="C48" s="130">
        <f t="shared" si="0"/>
        <v>1.6612499999999999</v>
      </c>
      <c r="D48" s="42" t="s">
        <v>28</v>
      </c>
      <c r="E48" s="43" t="s">
        <v>60</v>
      </c>
      <c r="F48" s="131">
        <f t="shared" si="1"/>
        <v>6.6449999999999995E-2</v>
      </c>
      <c r="G48" s="42" t="s">
        <v>28</v>
      </c>
      <c r="H48" s="43" t="s">
        <v>60</v>
      </c>
      <c r="I48" s="42"/>
      <c r="J48" s="158" t="s">
        <v>489</v>
      </c>
      <c r="K48" s="149">
        <v>50</v>
      </c>
      <c r="L48" s="149">
        <v>2</v>
      </c>
      <c r="M48" s="143">
        <v>44.3</v>
      </c>
      <c r="N48" s="144">
        <f t="shared" si="2"/>
        <v>2215</v>
      </c>
      <c r="O48" s="145">
        <f t="shared" si="3"/>
        <v>88.6</v>
      </c>
      <c r="P48" s="146">
        <v>0.75</v>
      </c>
    </row>
    <row r="49" spans="1:16" ht="13.8" x14ac:dyDescent="0.25">
      <c r="A49" s="42" t="s">
        <v>200</v>
      </c>
      <c r="B49" s="42" t="s">
        <v>121</v>
      </c>
      <c r="C49" s="130">
        <f t="shared" si="0"/>
        <v>3.9870000000000001</v>
      </c>
      <c r="D49" s="42" t="s">
        <v>28</v>
      </c>
      <c r="E49" s="43" t="s">
        <v>60</v>
      </c>
      <c r="F49" s="131">
        <f t="shared" si="1"/>
        <v>6.6449999999999995E-2</v>
      </c>
      <c r="G49" s="42" t="s">
        <v>28</v>
      </c>
      <c r="H49" s="43" t="s">
        <v>60</v>
      </c>
      <c r="I49" s="42"/>
      <c r="J49" s="158" t="s">
        <v>489</v>
      </c>
      <c r="K49" s="149">
        <v>120</v>
      </c>
      <c r="L49" s="149">
        <v>2</v>
      </c>
      <c r="M49" s="143">
        <v>44.3</v>
      </c>
      <c r="N49" s="144">
        <f t="shared" si="2"/>
        <v>5316</v>
      </c>
      <c r="O49" s="145">
        <f t="shared" si="3"/>
        <v>88.6</v>
      </c>
      <c r="P49" s="146">
        <v>0.75</v>
      </c>
    </row>
    <row r="50" spans="1:16" ht="13.8" x14ac:dyDescent="0.25">
      <c r="A50" s="42" t="s">
        <v>201</v>
      </c>
      <c r="B50" s="42" t="s">
        <v>121</v>
      </c>
      <c r="C50" s="130">
        <f t="shared" si="0"/>
        <v>4.6515000000000004</v>
      </c>
      <c r="D50" s="42" t="s">
        <v>28</v>
      </c>
      <c r="E50" s="43" t="s">
        <v>60</v>
      </c>
      <c r="F50" s="131">
        <f t="shared" si="1"/>
        <v>1.329E-2</v>
      </c>
      <c r="G50" s="42" t="s">
        <v>28</v>
      </c>
      <c r="H50" s="43" t="s">
        <v>60</v>
      </c>
      <c r="I50" s="42"/>
      <c r="J50" s="158" t="s">
        <v>489</v>
      </c>
      <c r="K50" s="149">
        <v>140</v>
      </c>
      <c r="L50" s="149">
        <v>0.4</v>
      </c>
      <c r="M50" s="143">
        <v>44.3</v>
      </c>
      <c r="N50" s="144">
        <f t="shared" si="2"/>
        <v>6202</v>
      </c>
      <c r="O50" s="145">
        <f t="shared" si="3"/>
        <v>17.72</v>
      </c>
      <c r="P50" s="146">
        <v>0.75</v>
      </c>
    </row>
    <row r="51" spans="1:16" ht="13.8" x14ac:dyDescent="0.25">
      <c r="A51" s="42" t="s">
        <v>202</v>
      </c>
      <c r="B51" s="42" t="s">
        <v>121</v>
      </c>
      <c r="C51" s="130">
        <f t="shared" si="0"/>
        <v>5.6482499999999991</v>
      </c>
      <c r="D51" s="42" t="s">
        <v>28</v>
      </c>
      <c r="E51" s="43" t="s">
        <v>60</v>
      </c>
      <c r="F51" s="131">
        <f t="shared" si="1"/>
        <v>1.329E-2</v>
      </c>
      <c r="G51" s="42" t="s">
        <v>28</v>
      </c>
      <c r="H51" s="43" t="s">
        <v>60</v>
      </c>
      <c r="I51" s="42"/>
      <c r="J51" s="158" t="s">
        <v>489</v>
      </c>
      <c r="K51" s="149">
        <v>170</v>
      </c>
      <c r="L51" s="149">
        <v>0.4</v>
      </c>
      <c r="M51" s="143">
        <v>44.3</v>
      </c>
      <c r="N51" s="144">
        <f t="shared" si="2"/>
        <v>7530.9999999999991</v>
      </c>
      <c r="O51" s="145">
        <f t="shared" si="3"/>
        <v>17.72</v>
      </c>
      <c r="P51" s="146">
        <v>0.75</v>
      </c>
    </row>
    <row r="52" spans="1:16" ht="13.8" x14ac:dyDescent="0.25">
      <c r="A52" s="42" t="s">
        <v>203</v>
      </c>
      <c r="B52" s="42" t="s">
        <v>121</v>
      </c>
      <c r="C52" s="130">
        <f t="shared" si="0"/>
        <v>4.3192500000000003</v>
      </c>
      <c r="D52" s="42" t="s">
        <v>28</v>
      </c>
      <c r="E52" s="43" t="s">
        <v>60</v>
      </c>
      <c r="F52" s="131">
        <f t="shared" si="1"/>
        <v>1.329E-2</v>
      </c>
      <c r="G52" s="42" t="s">
        <v>28</v>
      </c>
      <c r="H52" s="43" t="s">
        <v>60</v>
      </c>
      <c r="I52" s="42"/>
      <c r="J52" s="158" t="s">
        <v>489</v>
      </c>
      <c r="K52" s="149">
        <v>130</v>
      </c>
      <c r="L52" s="149">
        <v>0.4</v>
      </c>
      <c r="M52" s="143">
        <v>44.3</v>
      </c>
      <c r="N52" s="144">
        <f t="shared" si="2"/>
        <v>5759</v>
      </c>
      <c r="O52" s="145">
        <f t="shared" si="3"/>
        <v>17.72</v>
      </c>
      <c r="P52" s="146">
        <v>0.75</v>
      </c>
    </row>
    <row r="53" spans="1:16" ht="14.4" thickBot="1" x14ac:dyDescent="0.3">
      <c r="A53" s="42" t="s">
        <v>204</v>
      </c>
      <c r="B53" s="42" t="s">
        <v>121</v>
      </c>
      <c r="C53" s="130">
        <f t="shared" si="0"/>
        <v>5.9804999999999993</v>
      </c>
      <c r="D53" s="42" t="s">
        <v>28</v>
      </c>
      <c r="E53" s="43" t="s">
        <v>60</v>
      </c>
      <c r="F53" s="131">
        <f t="shared" si="1"/>
        <v>1.329E-2</v>
      </c>
      <c r="G53" s="42" t="s">
        <v>28</v>
      </c>
      <c r="H53" s="43" t="s">
        <v>60</v>
      </c>
      <c r="I53" s="42"/>
      <c r="J53" s="158" t="s">
        <v>489</v>
      </c>
      <c r="K53" s="150">
        <v>180</v>
      </c>
      <c r="L53" s="150">
        <v>0.4</v>
      </c>
      <c r="M53" s="147">
        <v>44.3</v>
      </c>
      <c r="N53" s="144">
        <f t="shared" si="2"/>
        <v>7973.9999999999991</v>
      </c>
      <c r="O53" s="145">
        <f t="shared" si="3"/>
        <v>17.72</v>
      </c>
      <c r="P53" s="146">
        <v>0.75</v>
      </c>
    </row>
    <row r="54" spans="1:16" x14ac:dyDescent="0.25">
      <c r="A54" s="139" t="s">
        <v>692</v>
      </c>
      <c r="B54" s="376"/>
      <c r="C54" s="377"/>
      <c r="D54" s="377"/>
      <c r="E54" s="377"/>
      <c r="F54" s="377"/>
      <c r="G54" s="377"/>
      <c r="H54" s="377"/>
      <c r="I54" s="377"/>
      <c r="J54" s="378"/>
      <c r="N54" s="129"/>
      <c r="O54" s="129"/>
      <c r="P54" s="159"/>
    </row>
    <row r="55" spans="1:16" x14ac:dyDescent="0.25">
      <c r="A55" s="42" t="s">
        <v>207</v>
      </c>
      <c r="B55" s="42" t="s">
        <v>14</v>
      </c>
      <c r="C55" s="42">
        <v>6.92</v>
      </c>
      <c r="D55" s="42" t="s">
        <v>28</v>
      </c>
      <c r="E55" s="42" t="s">
        <v>58</v>
      </c>
      <c r="F55" s="42">
        <v>0.47</v>
      </c>
      <c r="G55" s="42" t="s">
        <v>28</v>
      </c>
      <c r="H55" s="42" t="s">
        <v>58</v>
      </c>
      <c r="I55" s="42"/>
      <c r="J55" s="42" t="s">
        <v>489</v>
      </c>
    </row>
    <row r="56" spans="1:16" x14ac:dyDescent="0.25">
      <c r="A56" s="42" t="s">
        <v>208</v>
      </c>
      <c r="B56" s="42" t="s">
        <v>14</v>
      </c>
      <c r="C56" s="42">
        <v>1.94</v>
      </c>
      <c r="D56" s="42" t="s">
        <v>28</v>
      </c>
      <c r="E56" s="42" t="s">
        <v>58</v>
      </c>
      <c r="F56" s="42">
        <v>1.21</v>
      </c>
      <c r="G56" s="42" t="s">
        <v>28</v>
      </c>
      <c r="H56" s="42" t="s">
        <v>58</v>
      </c>
      <c r="I56" s="42"/>
      <c r="J56" s="42" t="s">
        <v>489</v>
      </c>
    </row>
    <row r="57" spans="1:16" x14ac:dyDescent="0.25">
      <c r="A57" s="42" t="s">
        <v>209</v>
      </c>
      <c r="B57" s="42" t="s">
        <v>14</v>
      </c>
      <c r="C57" s="42">
        <v>1.94</v>
      </c>
      <c r="D57" s="42" t="s">
        <v>28</v>
      </c>
      <c r="E57" s="42" t="s">
        <v>58</v>
      </c>
      <c r="F57" s="42">
        <v>1.2</v>
      </c>
      <c r="G57" s="42" t="s">
        <v>28</v>
      </c>
      <c r="H57" s="42" t="s">
        <v>58</v>
      </c>
      <c r="I57" s="42"/>
      <c r="J57" s="42" t="s">
        <v>489</v>
      </c>
    </row>
    <row r="58" spans="1:16" x14ac:dyDescent="0.25">
      <c r="A58" s="42" t="s">
        <v>30</v>
      </c>
      <c r="B58" s="42" t="s">
        <v>14</v>
      </c>
      <c r="C58" s="42">
        <v>1.27</v>
      </c>
      <c r="D58" s="42" t="s">
        <v>28</v>
      </c>
      <c r="E58" s="42" t="s">
        <v>58</v>
      </c>
      <c r="F58" s="42">
        <v>1.07</v>
      </c>
      <c r="G58" s="42" t="s">
        <v>28</v>
      </c>
      <c r="H58" s="42" t="s">
        <v>58</v>
      </c>
      <c r="I58" s="42"/>
      <c r="J58" s="42" t="s">
        <v>489</v>
      </c>
    </row>
    <row r="59" spans="1:16" x14ac:dyDescent="0.25">
      <c r="A59" s="42" t="s">
        <v>210</v>
      </c>
      <c r="B59" s="42" t="s">
        <v>14</v>
      </c>
      <c r="C59" s="42">
        <v>0.91</v>
      </c>
      <c r="D59" s="42" t="s">
        <v>28</v>
      </c>
      <c r="E59" s="42" t="s">
        <v>58</v>
      </c>
      <c r="F59" s="42">
        <v>0.56000000000000005</v>
      </c>
      <c r="G59" s="42" t="s">
        <v>28</v>
      </c>
      <c r="H59" s="42" t="s">
        <v>58</v>
      </c>
      <c r="I59" s="42"/>
      <c r="J59" s="42" t="s">
        <v>489</v>
      </c>
    </row>
    <row r="60" spans="1:16" x14ac:dyDescent="0.25">
      <c r="A60" s="42" t="s">
        <v>183</v>
      </c>
      <c r="B60" s="42" t="s">
        <v>14</v>
      </c>
      <c r="C60" s="42">
        <v>0.33</v>
      </c>
      <c r="D60" s="42" t="s">
        <v>28</v>
      </c>
      <c r="E60" s="42" t="s">
        <v>58</v>
      </c>
      <c r="F60" s="42">
        <v>0.95</v>
      </c>
      <c r="G60" s="42" t="s">
        <v>28</v>
      </c>
      <c r="H60" s="42" t="s">
        <v>58</v>
      </c>
      <c r="I60" s="42"/>
      <c r="J60" s="42" t="s">
        <v>489</v>
      </c>
    </row>
    <row r="61" spans="1:16" x14ac:dyDescent="0.25">
      <c r="A61" s="42" t="s">
        <v>211</v>
      </c>
      <c r="B61" s="42" t="s">
        <v>14</v>
      </c>
      <c r="C61" s="42">
        <v>7.98</v>
      </c>
      <c r="D61" s="42" t="s">
        <v>28</v>
      </c>
      <c r="E61" s="42" t="s">
        <v>58</v>
      </c>
      <c r="F61" s="42">
        <v>0.12</v>
      </c>
      <c r="G61" s="42" t="s">
        <v>28</v>
      </c>
      <c r="H61" s="42" t="s">
        <v>58</v>
      </c>
      <c r="I61" s="42"/>
      <c r="J61" s="42" t="s">
        <v>489</v>
      </c>
    </row>
    <row r="62" spans="1:16" x14ac:dyDescent="0.25">
      <c r="A62" s="42" t="s">
        <v>212</v>
      </c>
      <c r="B62" s="42" t="s">
        <v>14</v>
      </c>
      <c r="C62" s="42">
        <v>2.85</v>
      </c>
      <c r="D62" s="42" t="s">
        <v>28</v>
      </c>
      <c r="E62" s="42" t="s">
        <v>58</v>
      </c>
      <c r="F62" s="42">
        <v>1.47</v>
      </c>
      <c r="G62" s="42" t="s">
        <v>28</v>
      </c>
      <c r="H62" s="42" t="s">
        <v>58</v>
      </c>
      <c r="I62" s="42"/>
      <c r="J62" s="42" t="s">
        <v>489</v>
      </c>
    </row>
    <row r="63" spans="1:16" x14ac:dyDescent="0.25">
      <c r="A63" s="42" t="s">
        <v>213</v>
      </c>
      <c r="B63" s="42" t="s">
        <v>14</v>
      </c>
      <c r="C63" s="42">
        <v>2.85</v>
      </c>
      <c r="D63" s="42" t="s">
        <v>28</v>
      </c>
      <c r="E63" s="42" t="s">
        <v>58</v>
      </c>
      <c r="F63" s="42">
        <v>1.47</v>
      </c>
      <c r="G63" s="42" t="s">
        <v>28</v>
      </c>
      <c r="H63" s="42" t="s">
        <v>58</v>
      </c>
      <c r="I63" s="42"/>
      <c r="J63" s="42" t="s">
        <v>489</v>
      </c>
    </row>
    <row r="64" spans="1:16" x14ac:dyDescent="0.25">
      <c r="A64" s="42" t="s">
        <v>31</v>
      </c>
      <c r="B64" s="42" t="s">
        <v>14</v>
      </c>
      <c r="C64" s="42">
        <v>1.01</v>
      </c>
      <c r="D64" s="42" t="s">
        <v>28</v>
      </c>
      <c r="E64" s="42" t="s">
        <v>58</v>
      </c>
      <c r="F64" s="42">
        <v>0.94</v>
      </c>
      <c r="G64" s="42" t="s">
        <v>28</v>
      </c>
      <c r="H64" s="42" t="s">
        <v>58</v>
      </c>
      <c r="I64" s="42"/>
      <c r="J64" s="42" t="s">
        <v>489</v>
      </c>
    </row>
    <row r="65" spans="1:10" x14ac:dyDescent="0.25">
      <c r="A65" s="42" t="s">
        <v>214</v>
      </c>
      <c r="B65" s="42" t="s">
        <v>14</v>
      </c>
      <c r="C65" s="42">
        <v>0.91</v>
      </c>
      <c r="D65" s="42" t="s">
        <v>28</v>
      </c>
      <c r="E65" s="42" t="s">
        <v>58</v>
      </c>
      <c r="F65" s="42">
        <v>0.56000000000000005</v>
      </c>
      <c r="G65" s="42" t="s">
        <v>28</v>
      </c>
      <c r="H65" s="42" t="s">
        <v>58</v>
      </c>
      <c r="I65" s="42"/>
      <c r="J65" s="42" t="s">
        <v>489</v>
      </c>
    </row>
    <row r="66" spans="1:10" x14ac:dyDescent="0.25">
      <c r="A66" s="42" t="s">
        <v>184</v>
      </c>
      <c r="B66" s="42" t="s">
        <v>14</v>
      </c>
      <c r="C66" s="42">
        <v>0.59</v>
      </c>
      <c r="D66" s="42" t="s">
        <v>28</v>
      </c>
      <c r="E66" s="42" t="s">
        <v>58</v>
      </c>
      <c r="F66" s="42">
        <v>0.5</v>
      </c>
      <c r="G66" s="42" t="s">
        <v>28</v>
      </c>
      <c r="H66" s="42" t="s">
        <v>58</v>
      </c>
      <c r="I66" s="42"/>
      <c r="J66" s="42" t="s">
        <v>489</v>
      </c>
    </row>
    <row r="67" spans="1:10" x14ac:dyDescent="0.25">
      <c r="A67" s="42" t="s">
        <v>215</v>
      </c>
      <c r="B67" s="42" t="s">
        <v>14</v>
      </c>
      <c r="C67" s="42">
        <v>7.29</v>
      </c>
      <c r="D67" s="42" t="s">
        <v>28</v>
      </c>
      <c r="E67" s="42" t="s">
        <v>58</v>
      </c>
      <c r="F67" s="42">
        <v>0.31</v>
      </c>
      <c r="G67" s="42" t="s">
        <v>28</v>
      </c>
      <c r="H67" s="42" t="s">
        <v>58</v>
      </c>
      <c r="I67" s="42"/>
      <c r="J67" s="42" t="s">
        <v>489</v>
      </c>
    </row>
    <row r="68" spans="1:10" x14ac:dyDescent="0.25">
      <c r="A68" s="42" t="s">
        <v>216</v>
      </c>
      <c r="B68" s="42" t="s">
        <v>14</v>
      </c>
      <c r="C68" s="42">
        <v>3</v>
      </c>
      <c r="D68" s="42" t="s">
        <v>28</v>
      </c>
      <c r="E68" s="42" t="s">
        <v>58</v>
      </c>
      <c r="F68" s="42">
        <v>1.49</v>
      </c>
      <c r="G68" s="42" t="s">
        <v>28</v>
      </c>
      <c r="H68" s="42" t="s">
        <v>58</v>
      </c>
      <c r="I68" s="42"/>
      <c r="J68" s="42" t="s">
        <v>489</v>
      </c>
    </row>
    <row r="69" spans="1:10" x14ac:dyDescent="0.25">
      <c r="A69" s="42" t="s">
        <v>185</v>
      </c>
      <c r="B69" s="42" t="s">
        <v>14</v>
      </c>
      <c r="C69" s="42">
        <v>0.66</v>
      </c>
      <c r="D69" s="42" t="s">
        <v>28</v>
      </c>
      <c r="E69" s="42" t="s">
        <v>58</v>
      </c>
      <c r="F69" s="42">
        <v>0.49</v>
      </c>
      <c r="G69" s="42" t="s">
        <v>28</v>
      </c>
      <c r="H69" s="42" t="s">
        <v>58</v>
      </c>
      <c r="I69" s="42"/>
      <c r="J69" s="42" t="s">
        <v>489</v>
      </c>
    </row>
    <row r="70" spans="1:10" x14ac:dyDescent="0.25">
      <c r="A70" s="42" t="s">
        <v>186</v>
      </c>
      <c r="B70" s="42" t="s">
        <v>14</v>
      </c>
      <c r="C70" s="42">
        <v>0.41</v>
      </c>
      <c r="D70" s="42" t="s">
        <v>28</v>
      </c>
      <c r="E70" s="42" t="s">
        <v>58</v>
      </c>
      <c r="F70" s="42">
        <v>0.63</v>
      </c>
      <c r="G70" s="42" t="s">
        <v>28</v>
      </c>
      <c r="H70" s="42" t="s">
        <v>58</v>
      </c>
      <c r="I70" s="42"/>
      <c r="J70" s="42" t="s">
        <v>489</v>
      </c>
    </row>
    <row r="71" spans="1:10" x14ac:dyDescent="0.25">
      <c r="A71" s="42" t="s">
        <v>187</v>
      </c>
      <c r="B71" s="42" t="s">
        <v>14</v>
      </c>
      <c r="C71" s="42">
        <v>1.02</v>
      </c>
      <c r="D71" s="42" t="s">
        <v>28</v>
      </c>
      <c r="E71" s="42" t="s">
        <v>58</v>
      </c>
      <c r="F71" s="42">
        <v>1.07</v>
      </c>
      <c r="G71" s="42" t="s">
        <v>28</v>
      </c>
      <c r="H71" s="42" t="s">
        <v>58</v>
      </c>
      <c r="I71" s="42"/>
      <c r="J71" s="42" t="s">
        <v>489</v>
      </c>
    </row>
    <row r="72" spans="1:10" x14ac:dyDescent="0.25">
      <c r="A72" s="42" t="s">
        <v>188</v>
      </c>
      <c r="B72" s="42" t="s">
        <v>14</v>
      </c>
      <c r="C72" s="42">
        <v>1.89</v>
      </c>
      <c r="D72" s="42" t="s">
        <v>28</v>
      </c>
      <c r="E72" s="42" t="s">
        <v>58</v>
      </c>
      <c r="F72" s="42">
        <v>1.1599999999999999</v>
      </c>
      <c r="G72" s="42" t="s">
        <v>28</v>
      </c>
      <c r="H72" s="42" t="s">
        <v>58</v>
      </c>
      <c r="I72" s="42"/>
      <c r="J72" s="42" t="s">
        <v>489</v>
      </c>
    </row>
    <row r="73" spans="1:10" x14ac:dyDescent="0.25">
      <c r="A73" s="42" t="s">
        <v>189</v>
      </c>
      <c r="B73" s="42" t="s">
        <v>14</v>
      </c>
      <c r="C73" s="42">
        <v>0.35</v>
      </c>
      <c r="D73" s="42" t="s">
        <v>28</v>
      </c>
      <c r="E73" s="42" t="s">
        <v>58</v>
      </c>
      <c r="F73" s="42">
        <v>0.89</v>
      </c>
      <c r="G73" s="42" t="s">
        <v>28</v>
      </c>
      <c r="H73" s="42" t="s">
        <v>58</v>
      </c>
      <c r="I73" s="42"/>
      <c r="J73" s="42" t="s">
        <v>489</v>
      </c>
    </row>
    <row r="74" spans="1:10" x14ac:dyDescent="0.25">
      <c r="A74" s="42" t="s">
        <v>217</v>
      </c>
      <c r="B74" s="42" t="s">
        <v>14</v>
      </c>
      <c r="C74" s="42">
        <v>7.13</v>
      </c>
      <c r="D74" s="42" t="s">
        <v>28</v>
      </c>
      <c r="E74" s="42" t="s">
        <v>58</v>
      </c>
      <c r="F74" s="42">
        <v>0.5</v>
      </c>
      <c r="G74" s="42" t="s">
        <v>28</v>
      </c>
      <c r="H74" s="42" t="s">
        <v>58</v>
      </c>
      <c r="I74" s="42"/>
      <c r="J74" s="42" t="s">
        <v>489</v>
      </c>
    </row>
    <row r="75" spans="1:10" x14ac:dyDescent="0.25">
      <c r="A75" s="42" t="s">
        <v>218</v>
      </c>
      <c r="B75" s="42" t="s">
        <v>14</v>
      </c>
      <c r="C75" s="42">
        <v>2.74</v>
      </c>
      <c r="D75" s="42" t="s">
        <v>28</v>
      </c>
      <c r="E75" s="42" t="s">
        <v>58</v>
      </c>
      <c r="F75" s="42">
        <v>1.54</v>
      </c>
      <c r="G75" s="42" t="s">
        <v>28</v>
      </c>
      <c r="H75" s="42" t="s">
        <v>58</v>
      </c>
      <c r="I75" s="42"/>
      <c r="J75" s="42" t="s">
        <v>489</v>
      </c>
    </row>
    <row r="76" spans="1:10" x14ac:dyDescent="0.25">
      <c r="A76" s="42" t="s">
        <v>190</v>
      </c>
      <c r="B76" s="42" t="s">
        <v>14</v>
      </c>
      <c r="C76" s="42">
        <v>0.42</v>
      </c>
      <c r="D76" s="42" t="s">
        <v>28</v>
      </c>
      <c r="E76" s="42" t="s">
        <v>58</v>
      </c>
      <c r="F76" s="42">
        <v>0.6</v>
      </c>
      <c r="G76" s="42" t="s">
        <v>28</v>
      </c>
      <c r="H76" s="42" t="s">
        <v>58</v>
      </c>
      <c r="I76" s="42"/>
      <c r="J76" s="42" t="s">
        <v>489</v>
      </c>
    </row>
    <row r="77" spans="1:10" x14ac:dyDescent="0.25">
      <c r="A77" s="42" t="s">
        <v>191</v>
      </c>
      <c r="B77" s="42" t="s">
        <v>14</v>
      </c>
      <c r="C77" s="42">
        <v>0.44</v>
      </c>
      <c r="D77" s="42" t="s">
        <v>28</v>
      </c>
      <c r="E77" s="42" t="s">
        <v>58</v>
      </c>
      <c r="F77" s="42">
        <v>0.64</v>
      </c>
      <c r="G77" s="42" t="s">
        <v>28</v>
      </c>
      <c r="H77" s="42" t="s">
        <v>58</v>
      </c>
      <c r="I77" s="42"/>
      <c r="J77" s="42" t="s">
        <v>489</v>
      </c>
    </row>
    <row r="78" spans="1:10" x14ac:dyDescent="0.25">
      <c r="A78" s="42" t="s">
        <v>219</v>
      </c>
      <c r="B78" s="42" t="s">
        <v>14</v>
      </c>
      <c r="C78" s="42">
        <v>9.68</v>
      </c>
      <c r="D78" s="42" t="s">
        <v>28</v>
      </c>
      <c r="E78" s="42" t="s">
        <v>58</v>
      </c>
      <c r="F78" s="42">
        <v>0</v>
      </c>
      <c r="G78" s="42" t="s">
        <v>28</v>
      </c>
      <c r="H78" s="42" t="s">
        <v>58</v>
      </c>
      <c r="I78" s="42"/>
      <c r="J78" s="42" t="s">
        <v>489</v>
      </c>
    </row>
    <row r="79" spans="1:10" x14ac:dyDescent="0.25">
      <c r="A79" s="42" t="s">
        <v>220</v>
      </c>
      <c r="B79" s="42" t="s">
        <v>14</v>
      </c>
      <c r="C79" s="42">
        <v>3.24</v>
      </c>
      <c r="D79" s="42" t="s">
        <v>28</v>
      </c>
      <c r="E79" s="42" t="s">
        <v>58</v>
      </c>
      <c r="F79" s="42">
        <v>2.06</v>
      </c>
      <c r="G79" s="42" t="s">
        <v>28</v>
      </c>
      <c r="H79" s="42" t="s">
        <v>58</v>
      </c>
      <c r="I79" s="42"/>
      <c r="J79" s="42" t="s">
        <v>489</v>
      </c>
    </row>
    <row r="80" spans="1:10" x14ac:dyDescent="0.25">
      <c r="A80" s="42" t="s">
        <v>192</v>
      </c>
      <c r="B80" s="42" t="s">
        <v>14</v>
      </c>
      <c r="C80" s="42">
        <v>0.49</v>
      </c>
      <c r="D80" s="42" t="s">
        <v>28</v>
      </c>
      <c r="E80" s="42" t="s">
        <v>58</v>
      </c>
      <c r="F80" s="42">
        <v>1.27</v>
      </c>
      <c r="G80" s="42" t="s">
        <v>28</v>
      </c>
      <c r="H80" s="42" t="s">
        <v>58</v>
      </c>
      <c r="I80" s="42"/>
      <c r="J80" s="42" t="s">
        <v>489</v>
      </c>
    </row>
    <row r="81" spans="1:15" x14ac:dyDescent="0.25">
      <c r="A81" s="42" t="s">
        <v>193</v>
      </c>
      <c r="B81" s="42" t="s">
        <v>14</v>
      </c>
      <c r="C81" s="42">
        <v>3.24</v>
      </c>
      <c r="D81" s="42" t="s">
        <v>28</v>
      </c>
      <c r="E81" s="42" t="s">
        <v>58</v>
      </c>
      <c r="F81" s="42">
        <v>1.81</v>
      </c>
      <c r="G81" s="42" t="s">
        <v>28</v>
      </c>
      <c r="H81" s="42" t="s">
        <v>58</v>
      </c>
      <c r="I81" s="42"/>
      <c r="J81" s="42" t="s">
        <v>489</v>
      </c>
    </row>
    <row r="82" spans="1:15" x14ac:dyDescent="0.25">
      <c r="A82" s="42" t="s">
        <v>194</v>
      </c>
      <c r="B82" s="42" t="s">
        <v>14</v>
      </c>
      <c r="C82" s="42">
        <v>0.4</v>
      </c>
      <c r="D82" s="42" t="s">
        <v>28</v>
      </c>
      <c r="E82" s="42" t="s">
        <v>58</v>
      </c>
      <c r="F82" s="42">
        <v>0.95</v>
      </c>
      <c r="G82" s="42" t="s">
        <v>28</v>
      </c>
      <c r="H82" s="42" t="s">
        <v>58</v>
      </c>
      <c r="I82" s="42"/>
      <c r="J82" s="42" t="s">
        <v>489</v>
      </c>
    </row>
    <row r="83" spans="1:15" x14ac:dyDescent="0.25">
      <c r="A83" s="42" t="s">
        <v>195</v>
      </c>
      <c r="B83" s="42" t="s">
        <v>14</v>
      </c>
      <c r="C83" s="42">
        <v>2</v>
      </c>
      <c r="D83" s="42" t="s">
        <v>28</v>
      </c>
      <c r="E83" s="42" t="s">
        <v>58</v>
      </c>
      <c r="F83" s="42">
        <v>0.01</v>
      </c>
      <c r="G83" s="42" t="s">
        <v>28</v>
      </c>
      <c r="H83" s="42" t="s">
        <v>58</v>
      </c>
      <c r="I83" s="42"/>
      <c r="J83" s="42" t="s">
        <v>489</v>
      </c>
    </row>
    <row r="84" spans="1:15" x14ac:dyDescent="0.25">
      <c r="A84" s="42" t="s">
        <v>221</v>
      </c>
      <c r="B84" s="42" t="s">
        <v>14</v>
      </c>
      <c r="C84" s="42">
        <v>9.8000000000000007</v>
      </c>
      <c r="D84" s="42" t="s">
        <v>28</v>
      </c>
      <c r="E84" s="42" t="s">
        <v>58</v>
      </c>
      <c r="F84" s="42">
        <v>0.11</v>
      </c>
      <c r="G84" s="42" t="s">
        <v>28</v>
      </c>
      <c r="H84" s="42" t="s">
        <v>58</v>
      </c>
      <c r="I84" s="42"/>
      <c r="J84" s="42" t="s">
        <v>489</v>
      </c>
    </row>
    <row r="85" spans="1:15" x14ac:dyDescent="0.25">
      <c r="A85" s="42" t="s">
        <v>222</v>
      </c>
      <c r="B85" s="42" t="s">
        <v>14</v>
      </c>
      <c r="C85" s="42">
        <v>2.72</v>
      </c>
      <c r="D85" s="42" t="s">
        <v>28</v>
      </c>
      <c r="E85" s="42" t="s">
        <v>58</v>
      </c>
      <c r="F85" s="42">
        <v>1.48</v>
      </c>
      <c r="G85" s="42" t="s">
        <v>28</v>
      </c>
      <c r="H85" s="42" t="s">
        <v>58</v>
      </c>
      <c r="I85" s="42"/>
      <c r="J85" s="42" t="s">
        <v>489</v>
      </c>
    </row>
    <row r="86" spans="1:15" x14ac:dyDescent="0.25">
      <c r="A86" s="42" t="s">
        <v>196</v>
      </c>
      <c r="B86" s="42" t="s">
        <v>14</v>
      </c>
      <c r="C86" s="42">
        <v>0.73</v>
      </c>
      <c r="D86" s="42" t="s">
        <v>28</v>
      </c>
      <c r="E86" s="42" t="s">
        <v>58</v>
      </c>
      <c r="F86" s="42">
        <v>0.66</v>
      </c>
      <c r="G86" s="42" t="s">
        <v>28</v>
      </c>
      <c r="H86" s="42" t="s">
        <v>58</v>
      </c>
      <c r="I86" s="42"/>
      <c r="J86" s="42" t="s">
        <v>489</v>
      </c>
    </row>
    <row r="87" spans="1:15" x14ac:dyDescent="0.25">
      <c r="A87" s="42" t="s">
        <v>197</v>
      </c>
      <c r="B87" s="42" t="s">
        <v>14</v>
      </c>
      <c r="C87" s="42">
        <v>0.43</v>
      </c>
      <c r="D87" s="42" t="s">
        <v>28</v>
      </c>
      <c r="E87" s="42" t="s">
        <v>58</v>
      </c>
      <c r="F87" s="42">
        <v>0.61</v>
      </c>
      <c r="G87" s="42" t="s">
        <v>28</v>
      </c>
      <c r="H87" s="42" t="s">
        <v>58</v>
      </c>
      <c r="I87" s="42"/>
      <c r="J87" s="42" t="s">
        <v>489</v>
      </c>
    </row>
    <row r="88" spans="1:15" x14ac:dyDescent="0.25">
      <c r="A88" s="42" t="s">
        <v>181</v>
      </c>
      <c r="B88" s="42" t="s">
        <v>14</v>
      </c>
      <c r="C88" s="42">
        <v>0</v>
      </c>
      <c r="D88" s="42" t="s">
        <v>28</v>
      </c>
      <c r="E88" s="42" t="s">
        <v>58</v>
      </c>
      <c r="F88" s="42">
        <v>0.3</v>
      </c>
      <c r="G88" s="42" t="s">
        <v>28</v>
      </c>
      <c r="H88" s="42" t="s">
        <v>58</v>
      </c>
      <c r="I88" s="42"/>
      <c r="J88" s="42" t="s">
        <v>6</v>
      </c>
    </row>
    <row r="89" spans="1:15" x14ac:dyDescent="0.25">
      <c r="A89" s="42" t="s">
        <v>182</v>
      </c>
      <c r="B89" s="42" t="s">
        <v>14</v>
      </c>
      <c r="C89" s="42">
        <v>7.06</v>
      </c>
      <c r="D89" s="42" t="s">
        <v>28</v>
      </c>
      <c r="E89" s="42" t="s">
        <v>58</v>
      </c>
      <c r="F89" s="42">
        <v>0.11</v>
      </c>
      <c r="G89" s="42" t="s">
        <v>28</v>
      </c>
      <c r="H89" s="42" t="s">
        <v>58</v>
      </c>
      <c r="I89" s="42"/>
      <c r="J89" s="42" t="s">
        <v>6</v>
      </c>
    </row>
    <row r="90" spans="1:15" x14ac:dyDescent="0.25">
      <c r="A90" s="42" t="s">
        <v>180</v>
      </c>
      <c r="B90" s="42" t="s">
        <v>14</v>
      </c>
      <c r="C90" s="42">
        <v>0.8</v>
      </c>
      <c r="D90" s="42" t="s">
        <v>28</v>
      </c>
      <c r="E90" s="42" t="s">
        <v>58</v>
      </c>
      <c r="F90" s="42">
        <v>0.26</v>
      </c>
      <c r="G90" s="42" t="s">
        <v>28</v>
      </c>
      <c r="H90" s="42" t="s">
        <v>58</v>
      </c>
      <c r="I90" s="42"/>
      <c r="J90" s="42" t="s">
        <v>5</v>
      </c>
    </row>
    <row r="91" spans="1:15" x14ac:dyDescent="0.25">
      <c r="A91" s="42" t="s">
        <v>27</v>
      </c>
      <c r="B91" s="42" t="s">
        <v>14</v>
      </c>
      <c r="C91" s="42">
        <v>1.1000000000000001</v>
      </c>
      <c r="D91" s="42" t="s">
        <v>28</v>
      </c>
      <c r="E91" s="42" t="s">
        <v>58</v>
      </c>
      <c r="F91" s="42">
        <v>0.31</v>
      </c>
      <c r="G91" s="42" t="s">
        <v>28</v>
      </c>
      <c r="H91" s="42" t="s">
        <v>58</v>
      </c>
      <c r="I91" s="42"/>
      <c r="J91" s="42" t="s">
        <v>78</v>
      </c>
      <c r="O91" s="129"/>
    </row>
    <row r="92" spans="1:15" x14ac:dyDescent="0.25">
      <c r="A92" s="42" t="s">
        <v>205</v>
      </c>
      <c r="B92" s="42" t="s">
        <v>14</v>
      </c>
      <c r="C92" s="42">
        <v>4.6399999999999997</v>
      </c>
      <c r="D92" s="42" t="s">
        <v>28</v>
      </c>
      <c r="E92" s="42" t="s">
        <v>58</v>
      </c>
      <c r="F92" s="42">
        <v>0.08</v>
      </c>
      <c r="G92" s="42" t="s">
        <v>28</v>
      </c>
      <c r="H92" s="42" t="s">
        <v>58</v>
      </c>
      <c r="I92" s="42"/>
      <c r="J92" s="42" t="s">
        <v>78</v>
      </c>
    </row>
    <row r="93" spans="1:15" x14ac:dyDescent="0.25">
      <c r="A93" s="42" t="s">
        <v>206</v>
      </c>
      <c r="B93" s="42" t="s">
        <v>14</v>
      </c>
      <c r="C93" s="42">
        <v>2.2599999999999998</v>
      </c>
      <c r="D93" s="42" t="s">
        <v>28</v>
      </c>
      <c r="E93" s="42" t="s">
        <v>58</v>
      </c>
      <c r="F93" s="42">
        <v>0.01</v>
      </c>
      <c r="G93" s="42" t="s">
        <v>28</v>
      </c>
      <c r="H93" s="42" t="s">
        <v>58</v>
      </c>
      <c r="I93" s="42"/>
      <c r="J93" s="42" t="s">
        <v>78</v>
      </c>
    </row>
    <row r="94" spans="1:15" x14ac:dyDescent="0.25">
      <c r="A94" s="42" t="s">
        <v>29</v>
      </c>
      <c r="B94" s="42" t="s">
        <v>14</v>
      </c>
      <c r="C94" s="42">
        <v>6.41</v>
      </c>
      <c r="D94" s="42" t="s">
        <v>28</v>
      </c>
      <c r="E94" s="42" t="s">
        <v>58</v>
      </c>
      <c r="F94" s="42">
        <v>0.17</v>
      </c>
      <c r="G94" s="42" t="s">
        <v>28</v>
      </c>
      <c r="H94" s="42" t="s">
        <v>58</v>
      </c>
      <c r="I94" s="42"/>
      <c r="J94" s="42" t="s">
        <v>78</v>
      </c>
    </row>
  </sheetData>
  <mergeCells count="2">
    <mergeCell ref="B54:J54"/>
    <mergeCell ref="K41:M41"/>
  </mergeCells>
  <phoneticPr fontId="1" type="noConversion"/>
  <pageMargins left="0.7" right="0.7" top="0.75" bottom="0.75" header="0.3" footer="0.3"/>
  <pageSetup orientation="portrait" horizontalDpi="0" verticalDpi="0" r:id="rId1"/>
  <headerFooter alignWithMargins="0"/>
  <rowBreaks count="2" manualBreakCount="2">
    <brk id="37" max="16383" man="1"/>
    <brk id="71"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17B4CAD6B604840AC13A7CFA4929F39" ma:contentTypeVersion="23" ma:contentTypeDescription="Create a new document." ma:contentTypeScope="" ma:versionID="a282a1bd0f88d750180afe007a5431a0">
  <xsd:schema xmlns:xsd="http://www.w3.org/2001/XMLSchema" xmlns:xs="http://www.w3.org/2001/XMLSchema" xmlns:p="http://schemas.microsoft.com/office/2006/metadata/properties" xmlns:ns1="http://schemas.microsoft.com/sharepoint/v3" xmlns:ns2="a46c2b86-f469-43b8-b637-0debd7041df9" xmlns:ns3="b48ca1b9-5519-4cb4-997c-a597c52bd683" targetNamespace="http://schemas.microsoft.com/office/2006/metadata/properties" ma:root="true" ma:fieldsID="c52d08aab83d34a77790adaa7bfb39af" ns1:_="" ns2:_="" ns3:_="">
    <xsd:import namespace="http://schemas.microsoft.com/sharepoint/v3"/>
    <xsd:import namespace="a46c2b86-f469-43b8-b637-0debd7041df9"/>
    <xsd:import namespace="b48ca1b9-5519-4cb4-997c-a597c52bd68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LengthInSeconds" minOccurs="0"/>
                <xsd:element ref="ns2:lcf76f155ced4ddcb4097134ff3c332f" minOccurs="0"/>
                <xsd:element ref="ns3:TaxCatchAll" minOccurs="0"/>
                <xsd:element ref="ns2:Comments" minOccurs="0"/>
                <xsd:element ref="ns2:CandidateRanking" minOccurs="0"/>
                <xsd:element ref="ns1:_ip_UnifiedCompliancePolicyProperties" minOccurs="0"/>
                <xsd:element ref="ns1:_ip_UnifiedCompliancePolicyUIAction" minOccurs="0"/>
                <xsd:element ref="ns2:MediaServiceObjectDetectorVersions" minOccurs="0"/>
                <xsd:element ref="ns2:MediaServiceLocation" minOccurs="0"/>
                <xsd:element ref="ns2:MediaServiceSearchProperties"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46c2b86-f469-43b8-b637-0debd7041d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db06df0-9a10-4f13-b01c-4547ef3a4f3d" ma:termSetId="09814cd3-568e-fe90-9814-8d621ff8fb84" ma:anchorId="fba54fb3-c3e1-fe81-a776-ca4b69148c4d" ma:open="true" ma:isKeyword="false">
      <xsd:complexType>
        <xsd:sequence>
          <xsd:element ref="pc:Terms" minOccurs="0" maxOccurs="1"/>
        </xsd:sequence>
      </xsd:complexType>
    </xsd:element>
    <xsd:element name="Comments" ma:index="23" nillable="true" ma:displayName="Comments" ma:format="Dropdown" ma:internalName="Comments">
      <xsd:simpleType>
        <xsd:restriction base="dms:Text">
          <xsd:maxLength value="255"/>
        </xsd:restriction>
      </xsd:simpleType>
    </xsd:element>
    <xsd:element name="CandidateRanking" ma:index="24" nillable="true" ma:displayName="Candidate Ranking" ma:decimals="0" ma:format="Dropdown" ma:internalName="CandidateRanking" ma:percentage="FALSE">
      <xsd:simpleType>
        <xsd:restriction base="dms:Number"/>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Location" ma:index="28" nillable="true" ma:displayName="Location" ma:indexed="true" ma:internalName="MediaServiceLocation"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Status" ma:index="30" nillable="true" ma:displayName="Status" ma:format="Dropdown" ma:internalName="Statu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48ca1b9-5519-4cb4-997c-a597c52bd68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1c331e7-1afd-4a1a-964c-8f9e9be1bb8b}" ma:internalName="TaxCatchAll" ma:showField="CatchAllData" ma:web="b48ca1b9-5519-4cb4-997c-a597c52bd6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48ca1b9-5519-4cb4-997c-a597c52bd683" xsi:nil="true"/>
    <_ip_UnifiedCompliancePolicyUIAction xmlns="http://schemas.microsoft.com/sharepoint/v3" xsi:nil="true"/>
    <lcf76f155ced4ddcb4097134ff3c332f xmlns="a46c2b86-f469-43b8-b637-0debd7041df9">
      <Terms xmlns="http://schemas.microsoft.com/office/infopath/2007/PartnerControls"/>
    </lcf76f155ced4ddcb4097134ff3c332f>
    <Comments xmlns="a46c2b86-f469-43b8-b637-0debd7041df9" xsi:nil="true"/>
    <Status xmlns="a46c2b86-f469-43b8-b637-0debd7041df9" xsi:nil="true"/>
    <_ip_UnifiedCompliancePolicyProperties xmlns="http://schemas.microsoft.com/sharepoint/v3" xsi:nil="true"/>
    <CandidateRanking xmlns="a46c2b86-f469-43b8-b637-0debd7041df9" xsi:nil="true"/>
  </documentManagement>
</p:properties>
</file>

<file path=customXml/itemProps1.xml><?xml version="1.0" encoding="utf-8"?>
<ds:datastoreItem xmlns:ds="http://schemas.openxmlformats.org/officeDocument/2006/customXml" ds:itemID="{2DBEB6A6-8312-4670-A52A-162D2FE896A1}">
  <ds:schemaRefs>
    <ds:schemaRef ds:uri="http://schemas.microsoft.com/sharepoint/v3/contenttype/forms"/>
  </ds:schemaRefs>
</ds:datastoreItem>
</file>

<file path=customXml/itemProps2.xml><?xml version="1.0" encoding="utf-8"?>
<ds:datastoreItem xmlns:ds="http://schemas.openxmlformats.org/officeDocument/2006/customXml" ds:itemID="{F9C042E8-6293-4256-B561-DF25CD8E19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46c2b86-f469-43b8-b637-0debd7041df9"/>
    <ds:schemaRef ds:uri="b48ca1b9-5519-4cb4-997c-a597c52bd6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85A6894-FD15-43A5-8C7E-6E51DDEE6D51}">
  <ds:schemaRefs>
    <ds:schemaRef ds:uri="a46c2b86-f469-43b8-b637-0debd7041df9"/>
    <ds:schemaRef ds:uri="http://purl.org/dc/dcmitype/"/>
    <ds:schemaRef ds:uri="http://schemas.microsoft.com/sharepoint/v3"/>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http://purl.org/dc/terms/"/>
    <ds:schemaRef ds:uri="b48ca1b9-5519-4cb4-997c-a597c52bd683"/>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163</vt:i4>
      </vt:variant>
    </vt:vector>
  </HeadingPairs>
  <TitlesOfParts>
    <vt:vector size="175" baseType="lpstr">
      <vt:lpstr>Welcome!</vt:lpstr>
      <vt:lpstr>1. Introduction</vt:lpstr>
      <vt:lpstr>2. Settings</vt:lpstr>
      <vt:lpstr>3. Calculator</vt:lpstr>
      <vt:lpstr>Calculate Mobile Activity Data</vt:lpstr>
      <vt:lpstr>Summary</vt:lpstr>
      <vt:lpstr>Revisions</vt:lpstr>
      <vt:lpstr>Reference - Lookup and Unit</vt:lpstr>
      <vt:lpstr>Reference - EF Fuel Use</vt:lpstr>
      <vt:lpstr>Reference - EF Road</vt:lpstr>
      <vt:lpstr>Reference - EF Freight</vt:lpstr>
      <vt:lpstr>Reference - EF Public</vt:lpstr>
      <vt:lpstr>Ref_DD_1_Other_UK</vt:lpstr>
      <vt:lpstr>Ref_DD_1_Other_US</vt:lpstr>
      <vt:lpstr>Ref_DD_1_UK</vt:lpstr>
      <vt:lpstr>Ref_DD_1_US</vt:lpstr>
      <vt:lpstr>Ref_DD_3_Other_UK</vt:lpstr>
      <vt:lpstr>Ref_DD_3_Other_US</vt:lpstr>
      <vt:lpstr>Ref_DD_3_UK</vt:lpstr>
      <vt:lpstr>Ref_DD_3_US</vt:lpstr>
      <vt:lpstr>Ref_DD_ActivityData</vt:lpstr>
      <vt:lpstr>Ref_DD_ActivityData_Rail</vt:lpstr>
      <vt:lpstr>Ref_DD_DistanceUnit</vt:lpstr>
      <vt:lpstr>Ref_DD_Fuel_Units</vt:lpstr>
      <vt:lpstr>Ref_DD_Fuel_VehicleDistance_Other_UK_Road</vt:lpstr>
      <vt:lpstr>Ref_DD_Fuel_vehicleDistance_Other_US</vt:lpstr>
      <vt:lpstr>Ref_DD_Fuel_vehicleDistance_Other_US_Road</vt:lpstr>
      <vt:lpstr>Ref_DD_Fuel_VehicleDistance_UK</vt:lpstr>
      <vt:lpstr>Ref_DD_Fuel_VehicleDistance_UK_Road</vt:lpstr>
      <vt:lpstr>Ref_DD_Fuel_vehicleDistance_US</vt:lpstr>
      <vt:lpstr>Ref_DD_Fuel_vehicleDistance_US_Road</vt:lpstr>
      <vt:lpstr>Ref_DD_Fuels_Other_UK</vt:lpstr>
      <vt:lpstr>Ref_DD_Fuels_Other_US</vt:lpstr>
      <vt:lpstr>Ref_DD_Fuels_UK</vt:lpstr>
      <vt:lpstr>Ref_DD_Fuels_US</vt:lpstr>
      <vt:lpstr>Ref_DD_IPCC_GWP</vt:lpstr>
      <vt:lpstr>Ref_DD_MasterUnits</vt:lpstr>
      <vt:lpstr>Ref_DD_NA</vt:lpstr>
      <vt:lpstr>Ref_DD_NonUK</vt:lpstr>
      <vt:lpstr>Ref_DD_Numerator</vt:lpstr>
      <vt:lpstr>Ref_DD_PasengerDistanceUnits</vt:lpstr>
      <vt:lpstr>Ref_DD_Region</vt:lpstr>
      <vt:lpstr>Ref_DD_Scope</vt:lpstr>
      <vt:lpstr>Ref_DD_TransportMode</vt:lpstr>
      <vt:lpstr>Ref_DD_vehicle_DistanceS3_Other_US</vt:lpstr>
      <vt:lpstr>Ref_DD_vehicle_DistanceS3_US</vt:lpstr>
      <vt:lpstr>Ref_DD_vehicle_FuelUse</vt:lpstr>
      <vt:lpstr>Ref_DD_vehicle_FuelUse_Other_UK_Offroad</vt:lpstr>
      <vt:lpstr>Ref_DD_vehicle_FuelUse_Other_UK_Rail</vt:lpstr>
      <vt:lpstr>Ref_DD_vehicle_FuelUse_Other_US_Aircraft</vt:lpstr>
      <vt:lpstr>Ref_DD_vehicle_FuelUse_Other_US_Offroad</vt:lpstr>
      <vt:lpstr>Ref_DD_vehicle_FuelUse_Other_US_Rail</vt:lpstr>
      <vt:lpstr>Ref_DD_vehicle_FuelUse_Other_US_Water</vt:lpstr>
      <vt:lpstr>Ref_DD_vehicle_FuelUse_US</vt:lpstr>
      <vt:lpstr>Ref_DD_vehicle_FuelUse_US_Aircraft</vt:lpstr>
      <vt:lpstr>Ref_DD_vehicle_FuelUse_US_Offroad</vt:lpstr>
      <vt:lpstr>Ref_DD_vehicle_FuelUse_US_Rail</vt:lpstr>
      <vt:lpstr>Ref_DD_vehicle_FuelUse_US_Water</vt:lpstr>
      <vt:lpstr>Ref_DD_vehicle_Passenger_Other_UK</vt:lpstr>
      <vt:lpstr>Ref_DD_vehicle_Passenger_Other_UK_Aircraft</vt:lpstr>
      <vt:lpstr>Ref_DD_vehicle_Passenger_Other_UK_Rail</vt:lpstr>
      <vt:lpstr>Ref_DD_vehicle_Passenger_Other_UK_Road</vt:lpstr>
      <vt:lpstr>Ref_DD_vehicle_Passenger_Other_UK_Water</vt:lpstr>
      <vt:lpstr>Ref_DD_vehicle_Passenger_Other_US</vt:lpstr>
      <vt:lpstr>Ref_DD_vehicle_Passenger_Other_US_Aircraft</vt:lpstr>
      <vt:lpstr>Ref_DD_vehicle_Passenger_Other_US_Rail</vt:lpstr>
      <vt:lpstr>Ref_DD_vehicle_Passenger_Other_US_Road</vt:lpstr>
      <vt:lpstr>Ref_DD_vehicle_Passenger_UK</vt:lpstr>
      <vt:lpstr>Ref_DD_vehicle_Passenger_UK_Aircraft</vt:lpstr>
      <vt:lpstr>Ref_DD_vehicle_Passenger_UK_Rail</vt:lpstr>
      <vt:lpstr>Ref_DD_vehicle_Passenger_UK_Road</vt:lpstr>
      <vt:lpstr>Ref_DD_vehicle_Passenger_UK_Water</vt:lpstr>
      <vt:lpstr>Ref_DD_vehicle_Passenger_US</vt:lpstr>
      <vt:lpstr>Ref_DD_vehicle_Passenger_US_Aircraft</vt:lpstr>
      <vt:lpstr>Ref_DD_vehicle_Passenger_US_Rail</vt:lpstr>
      <vt:lpstr>Ref_DD_vehicle_Passenger_US_Road</vt:lpstr>
      <vt:lpstr>Ref_DD_vehicle_vehicleDistance_Other</vt:lpstr>
      <vt:lpstr>Ref_DD_vehicle_vehicleDistance_Other_Road</vt:lpstr>
      <vt:lpstr>Ref_DD_vehicle_vehicleDistance_Other_UK</vt:lpstr>
      <vt:lpstr>Ref_DD_vehicle_vehicleDistance_Other_UK_Road</vt:lpstr>
      <vt:lpstr>Ref_DD_vehicle_vehicleDistance_UK</vt:lpstr>
      <vt:lpstr>Ref_DD_vehicle_vehicleDistance_UK_Road</vt:lpstr>
      <vt:lpstr>Ref_DD_vehicle_WeightDistance_Other_UK</vt:lpstr>
      <vt:lpstr>Ref_DD_vehicle_WeightDistance_Other_UK_Aircraft</vt:lpstr>
      <vt:lpstr>Ref_DD_vehicle_WeightDistance_Other_UK_Rail</vt:lpstr>
      <vt:lpstr>Ref_DD_vehicle_WeightDistance_Other_UK_Road</vt:lpstr>
      <vt:lpstr>Ref_DD_vehicle_WeightDistance_Other_UK_Water</vt:lpstr>
      <vt:lpstr>Ref_DD_vehicle_WeightDistance_Other_US</vt:lpstr>
      <vt:lpstr>Ref_DD_vehicle_WeightDistance_Other_US_Aircraft</vt:lpstr>
      <vt:lpstr>Ref_DD_vehicle_WeightDistance_Other_US_Rail</vt:lpstr>
      <vt:lpstr>Ref_DD_vehicle_WeightDistance_Other_US_Road</vt:lpstr>
      <vt:lpstr>Ref_DD_vehicle_WeightDistance_Other_US_Water</vt:lpstr>
      <vt:lpstr>Ref_DD_vehicle_WeightDistance_UK</vt:lpstr>
      <vt:lpstr>Ref_DD_vehicle_WeightDistance_UK_Aircraft</vt:lpstr>
      <vt:lpstr>Ref_DD_vehicle_WeightDistance_UK_Rail</vt:lpstr>
      <vt:lpstr>Ref_DD_vehicle_WeightDistance_UK_Road</vt:lpstr>
      <vt:lpstr>Ref_DD_vehicle_WeightDistance_UK_Water</vt:lpstr>
      <vt:lpstr>Ref_DD_vehicle_WeightDistance_US</vt:lpstr>
      <vt:lpstr>Ref_DD_vehicle_WeightDistance_US_AirCraft</vt:lpstr>
      <vt:lpstr>Ref_DD_vehicle_WeightDistance_US_Rail</vt:lpstr>
      <vt:lpstr>Ref_DD_vehicle_WeightDistance_US_Road</vt:lpstr>
      <vt:lpstr>Ref_DD_vehicle_WeightDistance_US_Water</vt:lpstr>
      <vt:lpstr>Ref_DD_WeightDistanceUnits</vt:lpstr>
      <vt:lpstr>Ref_EF_ByFuel</vt:lpstr>
      <vt:lpstr>Ref_EF_ByFuel_CH4_Other_UK</vt:lpstr>
      <vt:lpstr>Ref_EF_ByFuel_CH4_Other_US</vt:lpstr>
      <vt:lpstr>Ref_EF_ByFuel_CH4_US</vt:lpstr>
      <vt:lpstr>Ref_EF_ByFuel_Other_UK</vt:lpstr>
      <vt:lpstr>Ref_EF_ByFuel_Other_US</vt:lpstr>
      <vt:lpstr>Ref_EF_ByFuel_UK</vt:lpstr>
      <vt:lpstr>Ref_EF_ByFuel_US</vt:lpstr>
      <vt:lpstr>Ref_EF_Fuel_Use</vt:lpstr>
      <vt:lpstr>Ref_EF_Fuel_Vehicle_Distance_Other_UK</vt:lpstr>
      <vt:lpstr>Ref_EF_Fuel_Vehicle_Distance_Other_US</vt:lpstr>
      <vt:lpstr>Ref_EF_Fuel_Vehicle_Distance_UK</vt:lpstr>
      <vt:lpstr>Ref_EF_Fuel_Vehicle_Distance_US</vt:lpstr>
      <vt:lpstr>Ref_EF_IPCC_GWP_2007</vt:lpstr>
      <vt:lpstr>Ref_EF_IPCC_GWP_2014</vt:lpstr>
      <vt:lpstr>Ref_EF_IPCC_GWP_2021</vt:lpstr>
      <vt:lpstr>Ref_EF_Public_Transport</vt:lpstr>
      <vt:lpstr>Ref_EF_Public_Transport_CH4_Other_UK</vt:lpstr>
      <vt:lpstr>Ref_EF_Public_Transport_CH4_Other_US</vt:lpstr>
      <vt:lpstr>Ref_EF_Public_Transport_CH4_UK</vt:lpstr>
      <vt:lpstr>Ref_EF_Public_Transport_CH4_US</vt:lpstr>
      <vt:lpstr>Ref_EF_Public_Transport_Other_UK</vt:lpstr>
      <vt:lpstr>Ref_EF_Public_Transport_Other_US</vt:lpstr>
      <vt:lpstr>Ref_EF_Public_Transport_UK</vt:lpstr>
      <vt:lpstr>Ref_EF_Public_Transport_US</vt:lpstr>
      <vt:lpstr>Ref_EF_Vehicle_Distance_Other_UK</vt:lpstr>
      <vt:lpstr>Ref_EF_Vehicle_Distance_Other_US</vt:lpstr>
      <vt:lpstr>Ref_EF_Vehicle_Distance_S3_Other_US</vt:lpstr>
      <vt:lpstr>Ref_EF_Vehicle_Distance_S3_US</vt:lpstr>
      <vt:lpstr>Ref_EF_Vehicle_Distance_UK</vt:lpstr>
      <vt:lpstr>Ref_EF_Weight_Distance</vt:lpstr>
      <vt:lpstr>Ref_EF_Weight_Distance_CH4</vt:lpstr>
      <vt:lpstr>Ref_EF_Weight_Distance_CH4_Other_UK</vt:lpstr>
      <vt:lpstr>Ref_EF_Weight_Distance_CH4_Other_US</vt:lpstr>
      <vt:lpstr>Ref_EF_Weight_Distance_CH4_UK</vt:lpstr>
      <vt:lpstr>Ref_EF_Weight_Distance_CH4_US</vt:lpstr>
      <vt:lpstr>Ref_EF_Weight_Distance_Other_UK</vt:lpstr>
      <vt:lpstr>Ref_EF_Weight_Distance_Other_US</vt:lpstr>
      <vt:lpstr>Ref_EF_Weight_Distance_UK</vt:lpstr>
      <vt:lpstr>Ref_EF_Weight_Distance_US</vt:lpstr>
      <vt:lpstr>Ref_From_Units</vt:lpstr>
      <vt:lpstr>Ref_FuelUseVehicle_Other</vt:lpstr>
      <vt:lpstr>Ref_FuelUseVehicle_Other_Rail</vt:lpstr>
      <vt:lpstr>Ref_FuelUseVehicle_Other_Road</vt:lpstr>
      <vt:lpstr>Ref_FuelUseVehicle_US</vt:lpstr>
      <vt:lpstr>Ref_FuelUseVehicle_US_Offroad</vt:lpstr>
      <vt:lpstr>Ref_FuelUseVehicle_US_Rail</vt:lpstr>
      <vt:lpstr>Ref_FuelUseVehicle_US_water</vt:lpstr>
      <vt:lpstr>Ref_Master_Unit_Table</vt:lpstr>
      <vt:lpstr>Ref_ModeTransport_Other_UK</vt:lpstr>
      <vt:lpstr>Ref_ModeTransport_Other_US</vt:lpstr>
      <vt:lpstr>Ref_ModeTransport_UK</vt:lpstr>
      <vt:lpstr>Ref_ModeTransport_US</vt:lpstr>
      <vt:lpstr>Ref_Other_to</vt:lpstr>
      <vt:lpstr>REF_To_Unit</vt:lpstr>
      <vt:lpstr>Ref_Total_Emission</vt:lpstr>
      <vt:lpstr>Ref_Total_Emission_Biomass</vt:lpstr>
      <vt:lpstr>Ref_VehicleDistance_UK</vt:lpstr>
      <vt:lpstr>Set_DD_Vehicle_Units</vt:lpstr>
      <vt:lpstr>Setting_IPCC_GWP_VERSION</vt:lpstr>
      <vt:lpstr>Settings_Custom_Fuels</vt:lpstr>
      <vt:lpstr>Settings_Custom_Vehicle</vt:lpstr>
      <vt:lpstr>Tbl_Activity_Heading</vt:lpstr>
      <vt:lpstr>Tbl_Fuel_Settings</vt:lpstr>
      <vt:lpstr>Tbl_User_data</vt:lpstr>
      <vt:lpstr>Tbl_vehical_Settings</vt:lpstr>
      <vt:lpstr>UK_CNG</vt:lpstr>
      <vt:lpstr>UK_diesel</vt:lpstr>
      <vt:lpstr>UK_Economy</vt:lpstr>
      <vt:lpstr>UK_LNG</vt:lpstr>
      <vt:lpstr>UK_LPG</vt:lpstr>
      <vt:lpstr>UK_petrol</vt:lpstr>
    </vt:vector>
  </TitlesOfParts>
  <Company>Globallogic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arvind.mahesh</dc:creator>
  <cp:lastModifiedBy>Kevin Kurkul</cp:lastModifiedBy>
  <cp:lastPrinted>2011-06-16T17:00:39Z</cp:lastPrinted>
  <dcterms:created xsi:type="dcterms:W3CDTF">2009-03-06T06:34:12Z</dcterms:created>
  <dcterms:modified xsi:type="dcterms:W3CDTF">2024-09-25T19:38:36Z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0x010100E17B4CAD6B604840AC13A7CFA4929F39</vt:lpwstr>
  </property>
  <property fmtid="{D5CDD505-2E9C-101B-9397-08002B2CF9AE}" pid="3" name="MediaServiceImageTags">
    <vt:lpwstr/>
  </property>
</Properties>
</file>