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C:\Users\Alexander.Nicolas\Desktop\GHGP Website Docs\"/>
    </mc:Choice>
  </mc:AlternateContent>
  <bookViews>
    <workbookView xWindow="0" yWindow="0" windowWidth="15360" windowHeight="7155" tabRatio="908" activeTab="3"/>
  </bookViews>
  <sheets>
    <sheet name="Instruction" sheetId="38" r:id="rId1"/>
    <sheet name="Notes" sheetId="39" r:id="rId2"/>
    <sheet name="Info" sheetId="36" r:id="rId3"/>
    <sheet name="Calculations" sheetId="40" r:id="rId4"/>
    <sheet name="Chart1" sheetId="43" r:id="rId5"/>
    <sheet name="Chart2" sheetId="44" r:id="rId6"/>
    <sheet name="Chart3" sheetId="42" r:id="rId7"/>
  </sheets>
  <calcPr calcId="152511"/>
</workbook>
</file>

<file path=xl/calcChain.xml><?xml version="1.0" encoding="utf-8"?>
<calcChain xmlns="http://schemas.openxmlformats.org/spreadsheetml/2006/main">
  <c r="AJ6" i="40" l="1"/>
  <c r="AY5" i="40" l="1"/>
  <c r="AY6" i="40"/>
  <c r="AY7" i="40"/>
  <c r="AY8" i="40"/>
  <c r="AY9" i="40"/>
  <c r="AY10" i="40"/>
  <c r="AY11" i="40"/>
  <c r="AY12" i="40"/>
  <c r="AY13" i="40"/>
  <c r="AY14" i="40"/>
  <c r="AY15" i="40"/>
  <c r="AY16" i="40"/>
  <c r="AY17" i="40"/>
  <c r="AY18" i="40"/>
  <c r="AY19" i="40"/>
  <c r="AN5" i="40"/>
  <c r="AN6" i="40"/>
  <c r="AN7" i="40"/>
  <c r="AN8" i="40"/>
  <c r="AN9" i="40"/>
  <c r="AN10" i="40"/>
  <c r="AN11" i="40"/>
  <c r="AN12" i="40"/>
  <c r="AN13" i="40"/>
  <c r="AN14" i="40"/>
  <c r="AN15" i="40"/>
  <c r="AN16" i="40"/>
  <c r="AN17" i="40"/>
  <c r="AN18" i="40"/>
  <c r="AN19" i="40"/>
  <c r="C9" i="36" l="1"/>
  <c r="CH4" i="40"/>
  <c r="BD5" i="40"/>
  <c r="BD6" i="40"/>
  <c r="BD7" i="40"/>
  <c r="BD8" i="40"/>
  <c r="BD9" i="40"/>
  <c r="BD10" i="40"/>
  <c r="BD11" i="40"/>
  <c r="AX12" i="40"/>
  <c r="BD12" i="40" s="1"/>
  <c r="BD13" i="40"/>
  <c r="BD14" i="40"/>
  <c r="BD15" i="40"/>
  <c r="BD16" i="40"/>
  <c r="BD17" i="40"/>
  <c r="BD18" i="40"/>
  <c r="BD19" i="40"/>
  <c r="AW9" i="40"/>
  <c r="AW12" i="40"/>
  <c r="AW15" i="40"/>
  <c r="AW17" i="40"/>
  <c r="AV5" i="40"/>
  <c r="AV6" i="40"/>
  <c r="AV14" i="40"/>
  <c r="AV15" i="40"/>
  <c r="AU12" i="40"/>
  <c r="AU15" i="40"/>
  <c r="AU17" i="40"/>
  <c r="AT12" i="40"/>
  <c r="AT14" i="40"/>
  <c r="AS5" i="40"/>
  <c r="AS6" i="40"/>
  <c r="AS7" i="40"/>
  <c r="AM8" i="40"/>
  <c r="AS8" i="40" s="1"/>
  <c r="AM9" i="40"/>
  <c r="AS9" i="40" s="1"/>
  <c r="AS10" i="40"/>
  <c r="AS11" i="40"/>
  <c r="AM12" i="40"/>
  <c r="AS12" i="40" s="1"/>
  <c r="AM13" i="40"/>
  <c r="AS13" i="40" s="1"/>
  <c r="AS14" i="40"/>
  <c r="AS15" i="40"/>
  <c r="AS16" i="40"/>
  <c r="AS17" i="40"/>
  <c r="AM18" i="40"/>
  <c r="AS18" i="40" s="1"/>
  <c r="AS19" i="40"/>
  <c r="AL5" i="40"/>
  <c r="AL8" i="40"/>
  <c r="AL9" i="40"/>
  <c r="AL10" i="40"/>
  <c r="AL12" i="40"/>
  <c r="AL13" i="40"/>
  <c r="AL18" i="40"/>
  <c r="AJ5" i="40"/>
  <c r="AJ8" i="40"/>
  <c r="AJ9" i="40"/>
  <c r="AJ11" i="40"/>
  <c r="AJ13" i="40"/>
  <c r="AJ15" i="40"/>
  <c r="AJ16" i="40"/>
  <c r="AJ17" i="40"/>
  <c r="AJ18" i="40"/>
  <c r="AI6" i="40"/>
  <c r="AI13" i="40"/>
  <c r="AI15" i="40"/>
  <c r="CK4" i="40" l="1"/>
  <c r="CQ4" i="40"/>
  <c r="P5" i="40" l="1"/>
  <c r="O5" i="40" l="1"/>
  <c r="BI5" i="40" s="1"/>
  <c r="BJ5" i="40" s="1"/>
  <c r="Y5" i="40"/>
  <c r="AC5" i="40"/>
  <c r="BC19" i="40" l="1"/>
  <c r="BB19" i="40"/>
  <c r="BA19" i="40"/>
  <c r="AZ19" i="40"/>
  <c r="P19" i="40"/>
  <c r="O19" i="40" s="1"/>
  <c r="BI19" i="40" s="1"/>
  <c r="BC18" i="40"/>
  <c r="BB18" i="40"/>
  <c r="BA18" i="40"/>
  <c r="AZ18" i="40"/>
  <c r="P18" i="40"/>
  <c r="O18" i="40" s="1"/>
  <c r="BI18" i="40" s="1"/>
  <c r="BC17" i="40"/>
  <c r="BB17" i="40"/>
  <c r="BA17" i="40"/>
  <c r="AZ17" i="40"/>
  <c r="P17" i="40"/>
  <c r="O17" i="40" s="1"/>
  <c r="BI17" i="40" s="1"/>
  <c r="BC16" i="40"/>
  <c r="BB16" i="40"/>
  <c r="BA16" i="40"/>
  <c r="AZ16" i="40"/>
  <c r="P16" i="40"/>
  <c r="O16" i="40" s="1"/>
  <c r="BI16" i="40" s="1"/>
  <c r="BC15" i="40"/>
  <c r="BB15" i="40"/>
  <c r="BA15" i="40"/>
  <c r="AZ15" i="40"/>
  <c r="P15" i="40"/>
  <c r="O15" i="40" s="1"/>
  <c r="BI15" i="40" s="1"/>
  <c r="BC14" i="40"/>
  <c r="BB14" i="40"/>
  <c r="BA14" i="40"/>
  <c r="AZ14" i="40"/>
  <c r="P14" i="40"/>
  <c r="O14" i="40" s="1"/>
  <c r="BI14" i="40" s="1"/>
  <c r="BC13" i="40"/>
  <c r="BB13" i="40"/>
  <c r="BA13" i="40"/>
  <c r="AZ13" i="40"/>
  <c r="P13" i="40"/>
  <c r="O13" i="40" s="1"/>
  <c r="BI13" i="40" s="1"/>
  <c r="BC12" i="40"/>
  <c r="BB12" i="40"/>
  <c r="BA12" i="40"/>
  <c r="AZ12" i="40"/>
  <c r="P12" i="40"/>
  <c r="O12" i="40" s="1"/>
  <c r="BI12" i="40" s="1"/>
  <c r="BC11" i="40"/>
  <c r="BB11" i="40"/>
  <c r="BA11" i="40"/>
  <c r="AZ11" i="40"/>
  <c r="P11" i="40"/>
  <c r="O11" i="40" s="1"/>
  <c r="BI11" i="40" s="1"/>
  <c r="BC10" i="40"/>
  <c r="BB10" i="40"/>
  <c r="BA10" i="40"/>
  <c r="AZ10" i="40"/>
  <c r="P10" i="40"/>
  <c r="O10" i="40" s="1"/>
  <c r="BI10" i="40" s="1"/>
  <c r="BC9" i="40"/>
  <c r="BB9" i="40"/>
  <c r="BA9" i="40"/>
  <c r="AZ9" i="40"/>
  <c r="P9" i="40"/>
  <c r="O9" i="40" s="1"/>
  <c r="BI9" i="40" s="1"/>
  <c r="BC8" i="40"/>
  <c r="BB8" i="40"/>
  <c r="BA8" i="40"/>
  <c r="AZ8" i="40"/>
  <c r="P8" i="40"/>
  <c r="O8" i="40" s="1"/>
  <c r="BI8" i="40" s="1"/>
  <c r="BC7" i="40"/>
  <c r="BB7" i="40"/>
  <c r="BA7" i="40"/>
  <c r="AZ7" i="40"/>
  <c r="P7" i="40"/>
  <c r="O7" i="40" s="1"/>
  <c r="BI7" i="40" s="1"/>
  <c r="BC6" i="40"/>
  <c r="BB6" i="40"/>
  <c r="BA6" i="40"/>
  <c r="AZ6" i="40"/>
  <c r="P6" i="40"/>
  <c r="O6" i="40" s="1"/>
  <c r="BI6" i="40" s="1"/>
  <c r="BC5" i="40"/>
  <c r="BB5" i="40"/>
  <c r="BA5" i="40"/>
  <c r="AZ5" i="40"/>
  <c r="CP4" i="40"/>
  <c r="CO4" i="40"/>
  <c r="CN4" i="40"/>
  <c r="CM4" i="40"/>
  <c r="CJ4" i="40"/>
  <c r="CI4" i="40"/>
  <c r="CG4" i="40"/>
  <c r="BJ6" i="40" l="1"/>
  <c r="BJ8" i="40"/>
  <c r="BJ10" i="40"/>
  <c r="BJ12" i="40"/>
  <c r="BJ14" i="40"/>
  <c r="BJ16" i="40"/>
  <c r="BJ18" i="40"/>
  <c r="BJ7" i="40"/>
  <c r="BJ9" i="40"/>
  <c r="BJ11" i="40"/>
  <c r="BJ13" i="40"/>
  <c r="BJ15" i="40"/>
  <c r="BJ17" i="40"/>
  <c r="BJ19" i="40"/>
  <c r="AC12" i="40"/>
  <c r="AC9" i="40"/>
  <c r="AC17" i="40"/>
  <c r="AC6" i="40"/>
  <c r="AC10" i="40"/>
  <c r="AC14" i="40"/>
  <c r="AC18" i="40"/>
  <c r="AC8" i="40"/>
  <c r="AC16" i="40"/>
  <c r="AC13" i="40"/>
  <c r="AC7" i="40"/>
  <c r="AC11" i="40"/>
  <c r="AC15" i="40"/>
  <c r="AC19" i="40"/>
  <c r="BG5" i="40"/>
  <c r="BH5" i="40" s="1"/>
  <c r="BG6" i="40"/>
  <c r="BH6" i="40" s="1"/>
  <c r="BG7" i="40"/>
  <c r="BH7" i="40" s="1"/>
  <c r="BG8" i="40"/>
  <c r="BH8" i="40" s="1"/>
  <c r="BG9" i="40"/>
  <c r="BH9" i="40" s="1"/>
  <c r="BG10" i="40"/>
  <c r="BH10" i="40" s="1"/>
  <c r="BG11" i="40"/>
  <c r="BH11" i="40" s="1"/>
  <c r="BG12" i="40"/>
  <c r="BH12" i="40" s="1"/>
  <c r="BG13" i="40"/>
  <c r="BH13" i="40" s="1"/>
  <c r="BG14" i="40"/>
  <c r="BH14" i="40" s="1"/>
  <c r="BG15" i="40"/>
  <c r="BH15" i="40" s="1"/>
  <c r="BG16" i="40"/>
  <c r="BH16" i="40" s="1"/>
  <c r="BG17" i="40"/>
  <c r="BH17" i="40" s="1"/>
  <c r="BG18" i="40"/>
  <c r="BH18" i="40" s="1"/>
  <c r="BG19" i="40"/>
  <c r="BH19" i="40" s="1"/>
  <c r="AO5" i="40"/>
  <c r="AP5" i="40"/>
  <c r="AQ5" i="40"/>
  <c r="AR5" i="40"/>
  <c r="AO6" i="40"/>
  <c r="AP6" i="40"/>
  <c r="AQ6" i="40"/>
  <c r="AR6" i="40"/>
  <c r="AO7" i="40"/>
  <c r="AP7" i="40"/>
  <c r="AQ7" i="40"/>
  <c r="AR7" i="40"/>
  <c r="AO8" i="40"/>
  <c r="AP8" i="40"/>
  <c r="AQ8" i="40"/>
  <c r="AR8" i="40"/>
  <c r="AO9" i="40"/>
  <c r="AP9" i="40"/>
  <c r="AQ9" i="40"/>
  <c r="AR9" i="40"/>
  <c r="AO10" i="40"/>
  <c r="AP10" i="40"/>
  <c r="AQ10" i="40"/>
  <c r="AR10" i="40"/>
  <c r="AO11" i="40"/>
  <c r="AP11" i="40"/>
  <c r="AQ11" i="40"/>
  <c r="AR11" i="40"/>
  <c r="AO12" i="40"/>
  <c r="AP12" i="40"/>
  <c r="AQ12" i="40"/>
  <c r="AR12" i="40"/>
  <c r="AO13" i="40"/>
  <c r="AP13" i="40"/>
  <c r="AQ13" i="40"/>
  <c r="AR13" i="40"/>
  <c r="AO14" i="40"/>
  <c r="AP14" i="40"/>
  <c r="AQ14" i="40"/>
  <c r="AR14" i="40"/>
  <c r="AO15" i="40"/>
  <c r="AP15" i="40"/>
  <c r="AQ15" i="40"/>
  <c r="AR15" i="40"/>
  <c r="AO16" i="40"/>
  <c r="AP16" i="40"/>
  <c r="AQ16" i="40"/>
  <c r="AR16" i="40"/>
  <c r="AO17" i="40"/>
  <c r="AP17" i="40"/>
  <c r="AQ17" i="40"/>
  <c r="AR17" i="40"/>
  <c r="AO18" i="40"/>
  <c r="AP18" i="40"/>
  <c r="AQ18" i="40"/>
  <c r="AR18" i="40"/>
  <c r="AO19" i="40"/>
  <c r="AP19" i="40"/>
  <c r="AQ19" i="40"/>
  <c r="AR19" i="40"/>
  <c r="Z5" i="40"/>
  <c r="AA5" i="40"/>
  <c r="AB5" i="40"/>
  <c r="Y6" i="40"/>
  <c r="Z6" i="40"/>
  <c r="AA6" i="40"/>
  <c r="AB6" i="40"/>
  <c r="Y7" i="40"/>
  <c r="Z7" i="40"/>
  <c r="AA7" i="40"/>
  <c r="AB7" i="40"/>
  <c r="Y8" i="40"/>
  <c r="Z8" i="40"/>
  <c r="AA8" i="40"/>
  <c r="AB8" i="40"/>
  <c r="Y9" i="40"/>
  <c r="Z9" i="40"/>
  <c r="AA9" i="40"/>
  <c r="AB9" i="40"/>
  <c r="Y10" i="40"/>
  <c r="Z10" i="40"/>
  <c r="AA10" i="40"/>
  <c r="AB10" i="40"/>
  <c r="Y11" i="40"/>
  <c r="Z11" i="40"/>
  <c r="AA11" i="40"/>
  <c r="AB11" i="40"/>
  <c r="Y12" i="40"/>
  <c r="Z12" i="40"/>
  <c r="AA12" i="40"/>
  <c r="AB12" i="40"/>
  <c r="Y13" i="40"/>
  <c r="Z13" i="40"/>
  <c r="AA13" i="40"/>
  <c r="AB13" i="40"/>
  <c r="Y14" i="40"/>
  <c r="Z14" i="40"/>
  <c r="AA14" i="40"/>
  <c r="AB14" i="40"/>
  <c r="Y15" i="40"/>
  <c r="Z15" i="40"/>
  <c r="AA15" i="40"/>
  <c r="AB15" i="40"/>
  <c r="Y16" i="40"/>
  <c r="Z16" i="40"/>
  <c r="AA16" i="40"/>
  <c r="AB16" i="40"/>
  <c r="Y17" i="40"/>
  <c r="Z17" i="40"/>
  <c r="AA17" i="40"/>
  <c r="AB17" i="40"/>
  <c r="Y18" i="40"/>
  <c r="Z18" i="40"/>
  <c r="AA18" i="40"/>
  <c r="AB18" i="40"/>
  <c r="Y19" i="40"/>
  <c r="Z19" i="40"/>
  <c r="AA19" i="40"/>
  <c r="AB19" i="40"/>
  <c r="AH15" i="40" l="1"/>
  <c r="CC15" i="40" s="1"/>
  <c r="AH19" i="40"/>
  <c r="CC19" i="40" s="1"/>
  <c r="AH11" i="40"/>
  <c r="CC11" i="40" s="1"/>
  <c r="CQ5" i="40"/>
  <c r="AH5" i="40"/>
  <c r="CC5" i="40" s="1"/>
  <c r="AH13" i="40"/>
  <c r="CC13" i="40" s="1"/>
  <c r="AH14" i="40"/>
  <c r="CC14" i="40" s="1"/>
  <c r="AH9" i="40"/>
  <c r="CC9" i="40" s="1"/>
  <c r="AH12" i="40"/>
  <c r="CC12" i="40" s="1"/>
  <c r="AH16" i="40"/>
  <c r="CC16" i="40" s="1"/>
  <c r="AH8" i="40"/>
  <c r="CC8" i="40" s="1"/>
  <c r="AH6" i="40"/>
  <c r="CC6" i="40" s="1"/>
  <c r="AH7" i="40"/>
  <c r="CC7" i="40" s="1"/>
  <c r="AH18" i="40"/>
  <c r="CC18" i="40" s="1"/>
  <c r="AH10" i="40"/>
  <c r="CC10" i="40" s="1"/>
  <c r="AH17" i="40"/>
  <c r="CC17" i="40" s="1"/>
  <c r="BE5" i="40"/>
  <c r="BF5" i="40" s="1"/>
  <c r="AD5" i="40"/>
  <c r="AG19" i="40"/>
  <c r="BY19" i="40" s="1"/>
  <c r="BE18" i="40"/>
  <c r="BE16" i="40"/>
  <c r="BE14" i="40"/>
  <c r="BE12" i="40"/>
  <c r="BE10" i="40"/>
  <c r="BE8" i="40"/>
  <c r="BE6" i="40"/>
  <c r="BE19" i="40"/>
  <c r="BE17" i="40"/>
  <c r="BE15" i="40"/>
  <c r="BE13" i="40"/>
  <c r="BE11" i="40"/>
  <c r="BE9" i="40"/>
  <c r="BE7" i="40"/>
  <c r="CP5" i="40"/>
  <c r="CO5" i="40"/>
  <c r="CN5" i="40"/>
  <c r="CM5" i="40"/>
  <c r="AE19" i="40"/>
  <c r="BQ19" i="40" s="1"/>
  <c r="AF19" i="40"/>
  <c r="BU19" i="40" s="1"/>
  <c r="AG17" i="40"/>
  <c r="BY17" i="40" s="1"/>
  <c r="AG15" i="40"/>
  <c r="BY15" i="40" s="1"/>
  <c r="AG13" i="40"/>
  <c r="BY13" i="40" s="1"/>
  <c r="AG11" i="40"/>
  <c r="BY11" i="40" s="1"/>
  <c r="AG9" i="40"/>
  <c r="BY9" i="40" s="1"/>
  <c r="AG18" i="40"/>
  <c r="BY18" i="40" s="1"/>
  <c r="AG16" i="40"/>
  <c r="BY16" i="40" s="1"/>
  <c r="AG14" i="40"/>
  <c r="BY14" i="40" s="1"/>
  <c r="AG12" i="40"/>
  <c r="BY12" i="40" s="1"/>
  <c r="AG10" i="40"/>
  <c r="BY10" i="40" s="1"/>
  <c r="AG8" i="40"/>
  <c r="BY8" i="40" s="1"/>
  <c r="AG7" i="40"/>
  <c r="BY7" i="40" s="1"/>
  <c r="AG6" i="40"/>
  <c r="BY6" i="40" s="1"/>
  <c r="AG5" i="40"/>
  <c r="BY5" i="40" s="1"/>
  <c r="AF18" i="40"/>
  <c r="BU18" i="40" s="1"/>
  <c r="AF17" i="40"/>
  <c r="BU17" i="40" s="1"/>
  <c r="AF16" i="40"/>
  <c r="BU16" i="40" s="1"/>
  <c r="AF15" i="40"/>
  <c r="BU15" i="40" s="1"/>
  <c r="AF14" i="40"/>
  <c r="BU14" i="40" s="1"/>
  <c r="AF13" i="40"/>
  <c r="BU13" i="40" s="1"/>
  <c r="AF12" i="40"/>
  <c r="BU12" i="40" s="1"/>
  <c r="AF11" i="40"/>
  <c r="BU11" i="40" s="1"/>
  <c r="AF10" i="40"/>
  <c r="BU10" i="40" s="1"/>
  <c r="AF9" i="40"/>
  <c r="BU9" i="40" s="1"/>
  <c r="AF8" i="40"/>
  <c r="BU8" i="40" s="1"/>
  <c r="AF7" i="40"/>
  <c r="BU7" i="40" s="1"/>
  <c r="AF6" i="40"/>
  <c r="BU6" i="40" s="1"/>
  <c r="AF5" i="40"/>
  <c r="BU5" i="40" s="1"/>
  <c r="AE17" i="40"/>
  <c r="BQ17" i="40" s="1"/>
  <c r="AE16" i="40"/>
  <c r="BQ16" i="40" s="1"/>
  <c r="AE14" i="40"/>
  <c r="BQ14" i="40" s="1"/>
  <c r="AE12" i="40"/>
  <c r="BQ12" i="40" s="1"/>
  <c r="AE10" i="40"/>
  <c r="BQ10" i="40" s="1"/>
  <c r="AE18" i="40"/>
  <c r="BQ18" i="40" s="1"/>
  <c r="AE15" i="40"/>
  <c r="BQ15" i="40" s="1"/>
  <c r="AE13" i="40"/>
  <c r="BQ13" i="40" s="1"/>
  <c r="AE11" i="40"/>
  <c r="BQ11" i="40" s="1"/>
  <c r="AE9" i="40"/>
  <c r="BQ9" i="40" s="1"/>
  <c r="AE8" i="40"/>
  <c r="BQ8" i="40" s="1"/>
  <c r="AE7" i="40"/>
  <c r="BQ7" i="40" s="1"/>
  <c r="AE6" i="40"/>
  <c r="BQ6" i="40" s="1"/>
  <c r="AE5" i="40"/>
  <c r="BQ5" i="40" s="1"/>
  <c r="AD19" i="40"/>
  <c r="AD18" i="40"/>
  <c r="AD17" i="40"/>
  <c r="AD15" i="40"/>
  <c r="AD13" i="40"/>
  <c r="AD11" i="40"/>
  <c r="AD10" i="40"/>
  <c r="AD9" i="40"/>
  <c r="AD8" i="40"/>
  <c r="AD7" i="40"/>
  <c r="AD6" i="40"/>
  <c r="AD16" i="40"/>
  <c r="AD14" i="40"/>
  <c r="AD12" i="40"/>
  <c r="CB5" i="40" l="1"/>
  <c r="CA15" i="40"/>
  <c r="CA8" i="40"/>
  <c r="CA6" i="40"/>
  <c r="CA7" i="40"/>
  <c r="CA5" i="40"/>
  <c r="CA11" i="40"/>
  <c r="CA18" i="40"/>
  <c r="CA19" i="40"/>
  <c r="CA10" i="40"/>
  <c r="CA12" i="40"/>
  <c r="CA16" i="40"/>
  <c r="CA13" i="40"/>
  <c r="CA14" i="40"/>
  <c r="CA9" i="40"/>
  <c r="CA17" i="40"/>
  <c r="BW19" i="40"/>
  <c r="BW5" i="40"/>
  <c r="BX5" i="40"/>
  <c r="BW7" i="40"/>
  <c r="BW10" i="40"/>
  <c r="BW14" i="40"/>
  <c r="BW18" i="40"/>
  <c r="BW11" i="40"/>
  <c r="BW15" i="40"/>
  <c r="BW6" i="40"/>
  <c r="BW8" i="40"/>
  <c r="BW12" i="40"/>
  <c r="BW16" i="40"/>
  <c r="BW9" i="40"/>
  <c r="BW13" i="40"/>
  <c r="BW17" i="40"/>
  <c r="BS5" i="40"/>
  <c r="BT5" i="40"/>
  <c r="BS7" i="40"/>
  <c r="BS9" i="40"/>
  <c r="BS11" i="40"/>
  <c r="BS13" i="40"/>
  <c r="BS15" i="40"/>
  <c r="BS17" i="40"/>
  <c r="BS19" i="40"/>
  <c r="BS6" i="40"/>
  <c r="BS8" i="40"/>
  <c r="BS10" i="40"/>
  <c r="BS12" i="40"/>
  <c r="BS14" i="40"/>
  <c r="BS16" i="40"/>
  <c r="BS18" i="40"/>
  <c r="BO5" i="40"/>
  <c r="BP5" i="40"/>
  <c r="BO7" i="40"/>
  <c r="BO9" i="40"/>
  <c r="BO13" i="40"/>
  <c r="BO18" i="40"/>
  <c r="BO12" i="40"/>
  <c r="BO16" i="40"/>
  <c r="BO6" i="40"/>
  <c r="BO8" i="40"/>
  <c r="BO11" i="40"/>
  <c r="BO15" i="40"/>
  <c r="BO10" i="40"/>
  <c r="BO14" i="40"/>
  <c r="BO17" i="40"/>
  <c r="BO19" i="40"/>
  <c r="BM5" i="40"/>
  <c r="BL5" i="40"/>
  <c r="BK5" i="40"/>
  <c r="BK14" i="40"/>
  <c r="BM14" i="40"/>
  <c r="BK6" i="40"/>
  <c r="BM6" i="40"/>
  <c r="BK8" i="40"/>
  <c r="BM8" i="40"/>
  <c r="BK10" i="40"/>
  <c r="BM10" i="40"/>
  <c r="BK13" i="40"/>
  <c r="BM13" i="40"/>
  <c r="BK17" i="40"/>
  <c r="BM17" i="40"/>
  <c r="BK18" i="40"/>
  <c r="BM18" i="40"/>
  <c r="BK12" i="40"/>
  <c r="BM12" i="40"/>
  <c r="BK16" i="40"/>
  <c r="BM16" i="40"/>
  <c r="BK7" i="40"/>
  <c r="BM7" i="40"/>
  <c r="BK9" i="40"/>
  <c r="BM9" i="40"/>
  <c r="BK11" i="40"/>
  <c r="BM11" i="40"/>
  <c r="BK15" i="40"/>
  <c r="BM15" i="40"/>
  <c r="BK19" i="40"/>
  <c r="BM19" i="40"/>
  <c r="BF6" i="40"/>
  <c r="BF7" i="40"/>
  <c r="BF8" i="40"/>
  <c r="BF9" i="40"/>
  <c r="BF10" i="40"/>
  <c r="BF11" i="40"/>
  <c r="BF12" i="40"/>
  <c r="BF13" i="40"/>
  <c r="BF14" i="40"/>
  <c r="BF15" i="40"/>
  <c r="BF16" i="40"/>
  <c r="BF17" i="40"/>
  <c r="BF18" i="40"/>
  <c r="BF19" i="40"/>
  <c r="CB19" i="40" s="1"/>
  <c r="BN5" i="40" l="1"/>
  <c r="BP15" i="40"/>
  <c r="CB15" i="40"/>
  <c r="BP13" i="40"/>
  <c r="CB13" i="40"/>
  <c r="BP9" i="40"/>
  <c r="CB9" i="40"/>
  <c r="BP7" i="40"/>
  <c r="CB7" i="40"/>
  <c r="BP18" i="40"/>
  <c r="CB18" i="40"/>
  <c r="BP16" i="40"/>
  <c r="CB16" i="40"/>
  <c r="BP14" i="40"/>
  <c r="CB14" i="40"/>
  <c r="BP12" i="40"/>
  <c r="CB12" i="40"/>
  <c r="BP10" i="40"/>
  <c r="CB10" i="40"/>
  <c r="BP8" i="40"/>
  <c r="CB8" i="40"/>
  <c r="BP6" i="40"/>
  <c r="CB6" i="40"/>
  <c r="BP17" i="40"/>
  <c r="CB17" i="40"/>
  <c r="BP11" i="40"/>
  <c r="CB11" i="40"/>
  <c r="BP19" i="40"/>
  <c r="BX19" i="40"/>
  <c r="BX17" i="40"/>
  <c r="BX13" i="40"/>
  <c r="BX9" i="40"/>
  <c r="BX16" i="40"/>
  <c r="BX12" i="40"/>
  <c r="BX8" i="40"/>
  <c r="BX6" i="40"/>
  <c r="BX15" i="40"/>
  <c r="BX11" i="40"/>
  <c r="BX18" i="40"/>
  <c r="BX14" i="40"/>
  <c r="BX10" i="40"/>
  <c r="BX7" i="40"/>
  <c r="BT18" i="40"/>
  <c r="BT16" i="40"/>
  <c r="BT14" i="40"/>
  <c r="BT12" i="40"/>
  <c r="BT10" i="40"/>
  <c r="BT8" i="40"/>
  <c r="BT6" i="40"/>
  <c r="BT19" i="40"/>
  <c r="BT17" i="40"/>
  <c r="BT15" i="40"/>
  <c r="BT13" i="40"/>
  <c r="BT11" i="40"/>
  <c r="BT9" i="40"/>
  <c r="BT7" i="40"/>
  <c r="BR5" i="40"/>
  <c r="BL11" i="40"/>
  <c r="BL7" i="40"/>
  <c r="BL12" i="40"/>
  <c r="BL17" i="40"/>
  <c r="BL10" i="40"/>
  <c r="BL6" i="40"/>
  <c r="BL19" i="40"/>
  <c r="BL15" i="40"/>
  <c r="BL9" i="40"/>
  <c r="BL16" i="40"/>
  <c r="BL18" i="40"/>
  <c r="BL13" i="40"/>
  <c r="BL8" i="40"/>
  <c r="BL14" i="40"/>
  <c r="CD5" i="40"/>
  <c r="BN6" i="40" l="1"/>
  <c r="BN7" i="40"/>
  <c r="BN8" i="40"/>
  <c r="BN9" i="40"/>
  <c r="BN10" i="40"/>
  <c r="BN11" i="40"/>
  <c r="BN12" i="40"/>
  <c r="BN13" i="40"/>
  <c r="BN14" i="40"/>
  <c r="BN15" i="40"/>
  <c r="BN16" i="40"/>
  <c r="BN17" i="40"/>
  <c r="BN18" i="40"/>
  <c r="BN19" i="40"/>
  <c r="CD7" i="40"/>
  <c r="CD9" i="40"/>
  <c r="CD11" i="40"/>
  <c r="CD13" i="40"/>
  <c r="CD15" i="40"/>
  <c r="CD17" i="40"/>
  <c r="CD19" i="40"/>
  <c r="BR6" i="40"/>
  <c r="BR7" i="40"/>
  <c r="BR8" i="40"/>
  <c r="BR9" i="40"/>
  <c r="BR10" i="40"/>
  <c r="BR11" i="40"/>
  <c r="BR12" i="40"/>
  <c r="BR13" i="40"/>
  <c r="BR14" i="40"/>
  <c r="BR15" i="40"/>
  <c r="BR16" i="40"/>
  <c r="BR17" i="40"/>
  <c r="BR18" i="40"/>
  <c r="BR19" i="40"/>
  <c r="BV5" i="40"/>
  <c r="BV6" i="40"/>
  <c r="BV7" i="40"/>
  <c r="BV8" i="40"/>
  <c r="BV9" i="40"/>
  <c r="BV10" i="40"/>
  <c r="BV11" i="40"/>
  <c r="BV12" i="40"/>
  <c r="BV13" i="40"/>
  <c r="BV14" i="40"/>
  <c r="BV15" i="40"/>
  <c r="BV16" i="40"/>
  <c r="BV17" i="40"/>
  <c r="BV18" i="40"/>
  <c r="BV19" i="40"/>
  <c r="BZ5" i="40"/>
  <c r="BZ6" i="40"/>
  <c r="BZ7" i="40"/>
  <c r="BZ8" i="40"/>
  <c r="BZ9" i="40"/>
  <c r="BZ10" i="40"/>
  <c r="BZ11" i="40"/>
  <c r="BZ12" i="40"/>
  <c r="BZ13" i="40"/>
  <c r="BZ14" i="40"/>
  <c r="BZ15" i="40"/>
  <c r="BZ16" i="40"/>
  <c r="BZ17" i="40"/>
  <c r="BZ18" i="40"/>
  <c r="BZ19" i="40"/>
  <c r="CD6" i="40"/>
  <c r="CD8" i="40"/>
  <c r="CD10" i="40"/>
  <c r="CD12" i="40"/>
  <c r="CD14" i="40"/>
  <c r="CD16" i="40"/>
  <c r="CD18" i="40"/>
  <c r="CG5" i="40" l="1"/>
  <c r="CG6" i="40" s="1"/>
  <c r="CK5" i="40"/>
  <c r="CI5" i="40"/>
  <c r="CI6" i="40" s="1"/>
  <c r="CJ5" i="40"/>
  <c r="CH5" i="40"/>
  <c r="CK6" i="40" l="1"/>
  <c r="CK7" i="40" s="1"/>
  <c r="CJ6" i="40"/>
  <c r="CJ7" i="40" s="1"/>
  <c r="CP6" i="40" s="1"/>
  <c r="CP8" i="40" s="1"/>
  <c r="CI7" i="40"/>
  <c r="CO6" i="40" s="1"/>
  <c r="CO8" i="40" s="1"/>
  <c r="CH6" i="40"/>
  <c r="CH7" i="40" s="1"/>
  <c r="CG7" i="40"/>
  <c r="CO7" i="40" l="1"/>
  <c r="CO9" i="40" s="1"/>
  <c r="CQ6" i="40"/>
  <c r="CQ8" i="40" s="1"/>
  <c r="CQ7" i="40"/>
  <c r="CQ9" i="40" s="1"/>
  <c r="CP7" i="40"/>
  <c r="CP9" i="40" s="1"/>
  <c r="CN6" i="40"/>
  <c r="CN8" i="40" s="1"/>
  <c r="CN7" i="40"/>
  <c r="CN9" i="40" s="1"/>
  <c r="CM6" i="40"/>
  <c r="CM8" i="40" s="1"/>
  <c r="CM7" i="40"/>
  <c r="CM9" i="40" s="1"/>
</calcChain>
</file>

<file path=xl/sharedStrings.xml><?xml version="1.0" encoding="utf-8"?>
<sst xmlns="http://schemas.openxmlformats.org/spreadsheetml/2006/main" count="404" uniqueCount="215">
  <si>
    <t>kg</t>
  </si>
  <si>
    <t>RER</t>
  </si>
  <si>
    <t>US</t>
  </si>
  <si>
    <t>kWh</t>
  </si>
  <si>
    <t>Unit</t>
  </si>
  <si>
    <t>GLO</t>
  </si>
  <si>
    <t>Ecoinvent 2.01</t>
  </si>
  <si>
    <t>tkm</t>
  </si>
  <si>
    <t>Electricity</t>
  </si>
  <si>
    <t>Ecoinvent 2.01, adapted</t>
  </si>
  <si>
    <t>Copper, primary, at refinery</t>
  </si>
  <si>
    <t>Steel, converter, chromium steel 18/8, at plant</t>
  </si>
  <si>
    <t>Completeness</t>
  </si>
  <si>
    <t>GSD2</t>
  </si>
  <si>
    <t>GSD</t>
  </si>
  <si>
    <t>median</t>
  </si>
  <si>
    <t>95% lower bound</t>
  </si>
  <si>
    <t>95% upper bound</t>
  </si>
  <si>
    <t>Product Name:</t>
  </si>
  <si>
    <t>Scenario 2 Name:</t>
  </si>
  <si>
    <t>Scenario 3 Name</t>
  </si>
  <si>
    <t>Scenario 4 Name:</t>
  </si>
  <si>
    <t>Scenario 5 Name:</t>
  </si>
  <si>
    <t>Technology Type</t>
  </si>
  <si>
    <t>Combustion Process</t>
  </si>
  <si>
    <t>Thermal Energy</t>
  </si>
  <si>
    <t>Transport Services</t>
  </si>
  <si>
    <t>Infrastructure</t>
  </si>
  <si>
    <t>Direct emissions, CO2</t>
  </si>
  <si>
    <t>Direct emissions, Other GHGs</t>
  </si>
  <si>
    <t>Industrial Products</t>
  </si>
  <si>
    <t>Agricultural Products</t>
  </si>
  <si>
    <t>Activity Data GSD2</t>
  </si>
  <si>
    <t>Activity Data GSD</t>
  </si>
  <si>
    <t>Emission Factor GSD2</t>
  </si>
  <si>
    <t>Source</t>
  </si>
  <si>
    <t>Relevance Rating</t>
  </si>
  <si>
    <t>Notes</t>
  </si>
  <si>
    <t>Lower bar</t>
  </si>
  <si>
    <t>Upper bar</t>
  </si>
  <si>
    <t>Step 1: Definition of Inventory Categories and Emission Factors</t>
  </si>
  <si>
    <t>1a: Enter Names of Materials and Processes</t>
  </si>
  <si>
    <t>1b: Identify the name of the dataset used</t>
  </si>
  <si>
    <t>1d. Identify the geographic relevance of the emission factor data used</t>
  </si>
  <si>
    <t>1e. Identify the temporal relevance for the emission factor data</t>
  </si>
  <si>
    <t>1f. Identify the unit of measure for the material or process (e.g., KgCO2 per WHAT)</t>
  </si>
  <si>
    <t>1g. Identify the technology type from the drop-down</t>
  </si>
  <si>
    <t>Step 3. The GHG Inventory Results are Computed</t>
  </si>
  <si>
    <t>5a. Rank the Reliability of Each Category of Activity Data</t>
  </si>
  <si>
    <t>5b. Rank the Completeness of Each Category of Activity Data</t>
  </si>
  <si>
    <t>Temporal Representativeness</t>
  </si>
  <si>
    <t>Geographic Representativeness</t>
  </si>
  <si>
    <t>Technological Representativeness</t>
  </si>
  <si>
    <t>Poor</t>
  </si>
  <si>
    <t>Indicator score</t>
  </si>
  <si>
    <t>Very Good</t>
  </si>
  <si>
    <t>Good</t>
  </si>
  <si>
    <t>Fair</t>
  </si>
  <si>
    <t>Temporal representativeness</t>
  </si>
  <si>
    <t>Geographical representativeness</t>
  </si>
  <si>
    <t>Technological representativeness</t>
  </si>
  <si>
    <t>6a. Rank the Reliability of Each Category of Emission Factor Data</t>
  </si>
  <si>
    <t>6b. Rank the Completeness of Each Category of Emission Factor Data</t>
  </si>
  <si>
    <t>5c. Rank the Temporal Representativeness of Each Category of Activity Data</t>
  </si>
  <si>
    <t>GWP GSD</t>
  </si>
  <si>
    <t>Copper</t>
  </si>
  <si>
    <t>Steel</t>
  </si>
  <si>
    <t>Polystyrene</t>
  </si>
  <si>
    <t>Nylon</t>
  </si>
  <si>
    <t>PVC</t>
  </si>
  <si>
    <t>Polyurethane</t>
  </si>
  <si>
    <t>LDPE</t>
  </si>
  <si>
    <t>Heavy Truck</t>
  </si>
  <si>
    <t>paper, woodfree, coated, at regional storage</t>
  </si>
  <si>
    <t>Corrugated board, fresh fiber, single wall, printed color</t>
  </si>
  <si>
    <t>polyurethane, flexible foam, at plant</t>
  </si>
  <si>
    <t>PVC, granulate, at plant</t>
  </si>
  <si>
    <t>LDPE, granulate, at plant</t>
  </si>
  <si>
    <t>nylon 6, at plant</t>
  </si>
  <si>
    <t>polystyrene, general purpose, GPPS, at plant</t>
  </si>
  <si>
    <t>Aluminum, from primary materials</t>
  </si>
  <si>
    <t>Transport, lorry, &gt;16t, fleet average</t>
  </si>
  <si>
    <t>Electricity, US, low voltage, at grid, supply mix, kWh</t>
  </si>
  <si>
    <t>Toner Cartridge</t>
  </si>
  <si>
    <t>(lnGSD)2</t>
  </si>
  <si>
    <t>Default Ratings for Activity Data Pedigree Matrix</t>
  </si>
  <si>
    <t>Default Ratings for Emission Factor Data Pedigree Matrix</t>
  </si>
  <si>
    <t>Step 7: Computing the Components of the Geometric Standard Deviations</t>
  </si>
  <si>
    <t>Dataset Name</t>
  </si>
  <si>
    <t>Activity Data Temporal Relevance</t>
  </si>
  <si>
    <t>Emission Factor Geographic Relevance</t>
  </si>
  <si>
    <t>Emission Factor Temporal Relevance</t>
  </si>
  <si>
    <t>Activity Data Geographic Relevance</t>
  </si>
  <si>
    <t>Emission Factor Data Source</t>
  </si>
  <si>
    <t>Inventory Category Name</t>
  </si>
  <si>
    <t>Activity Data Source</t>
  </si>
  <si>
    <t>Baseline Activity</t>
  </si>
  <si>
    <t>Scenario 2 Activity</t>
  </si>
  <si>
    <t>Scenario 3 Activity</t>
  </si>
  <si>
    <t>Scenario 4 Activity</t>
  </si>
  <si>
    <t>Scenario 5 Activity</t>
  </si>
  <si>
    <t>Baseline GHG Total</t>
  </si>
  <si>
    <t>Scenario 2 GHG Total</t>
  </si>
  <si>
    <t>Scenario 3 GHG Total</t>
  </si>
  <si>
    <t>Scenario 4 GHG Total</t>
  </si>
  <si>
    <t>Scenario 5 GHG Total</t>
  </si>
  <si>
    <t>GWP per unit</t>
  </si>
  <si>
    <t>1h. Enter the emission factors for each gas and/or that unspecified by gas (KgCO2e per unit)</t>
  </si>
  <si>
    <t>CO2 emission factor</t>
  </si>
  <si>
    <t>Methane emission factor</t>
  </si>
  <si>
    <t>N2O emission factor</t>
  </si>
  <si>
    <t>HFC emission factor</t>
  </si>
  <si>
    <t>PCF emission factor</t>
  </si>
  <si>
    <t>SF6 emission factor</t>
  </si>
  <si>
    <t>Unclassified gasses emission factor</t>
  </si>
  <si>
    <t>Step 4. The percent contributions of each category are determined</t>
  </si>
  <si>
    <t>Percent contribution to Baseline inventory</t>
  </si>
  <si>
    <t>Percent contribution to Scenario 2 inventory</t>
  </si>
  <si>
    <t>Percent contribution to Scenario 3 inventory</t>
  </si>
  <si>
    <t>Percent contribution to Scenario 4 inventory</t>
  </si>
  <si>
    <t>Percent contribution to Scenario 5 inventory</t>
  </si>
  <si>
    <t>Activity Data Temporal Representativeness</t>
  </si>
  <si>
    <t>Activity Data Geographic Representativeness</t>
  </si>
  <si>
    <t>Activity Data Technological Representativeness</t>
  </si>
  <si>
    <t>Activity Data Completeness</t>
  </si>
  <si>
    <t>Emission Factor Data Completeness</t>
  </si>
  <si>
    <t>Emission Factor Data Temporal Representativeness</t>
  </si>
  <si>
    <t>Emission Factor Data Geographic Representativeness</t>
  </si>
  <si>
    <t>Emission Factor Data Technological Representativeness</t>
  </si>
  <si>
    <t>Activity Data Base Uncertainty</t>
  </si>
  <si>
    <t>Activity Data Completeness Factor</t>
  </si>
  <si>
    <t>Activity Data Temporal Representativeness Factor</t>
  </si>
  <si>
    <t>Activity Data Geographic Representativeness Factor</t>
  </si>
  <si>
    <t>Activity Data Technological Representativeness Factor</t>
  </si>
  <si>
    <t>5d. Rank the Geographic Representativeness of Each Category of Activity Data</t>
  </si>
  <si>
    <t>5e. Rank the Technological Representativeness of Each Category of Activity Data</t>
  </si>
  <si>
    <t>6d. Rank the Geographic Representativeness of Each Category of Emission Factor Data</t>
  </si>
  <si>
    <t>6e. Rank the Technological Representativeness of Each Category of Emission Factor Data</t>
  </si>
  <si>
    <t>6c. Rank the Temporal Representativeness of Each Category of Emission Factor Data</t>
  </si>
  <si>
    <t>Step 5: Update the Data Quality Ratings for the Activity Data</t>
  </si>
  <si>
    <t>Step 6: Update the Data Quality Ratings for the Emission Factor Data</t>
  </si>
  <si>
    <t>5f. The Activity Data Base Uncertainty and Quality Rating Factors are Filled in Based on the Pedigree Matrix</t>
  </si>
  <si>
    <t>2a. Enter activity data for the baseline scenario (units correspond to step 1f)</t>
  </si>
  <si>
    <t>2c. Identify the geographic relevance of the activity data used</t>
  </si>
  <si>
    <t>2d. Identify the temporal relevance for the activity data</t>
  </si>
  <si>
    <t>2e. Enter activity data for the alternate scenarios</t>
  </si>
  <si>
    <t>3. The GHG inventory of each scenario is calculated</t>
  </si>
  <si>
    <t>Emission Factor GSD</t>
  </si>
  <si>
    <t>GWP GSD2</t>
  </si>
  <si>
    <t>6f. The Emission Factory Data Base Uncertainty and Quality Rating Factors are Filled in Based on the Pedigree Matrix</t>
  </si>
  <si>
    <t>Baseline Emission Factor Uncertainty Component</t>
  </si>
  <si>
    <t>Baseline Activity Uncertainty Component</t>
  </si>
  <si>
    <t>Baseline GWP Uncertainty Component</t>
  </si>
  <si>
    <t>Contribution to Total Baseline Uncertainty</t>
  </si>
  <si>
    <t>Scenario 2 Emission Factor Uncertainty Component</t>
  </si>
  <si>
    <t>Scenario 2 GWP Uncertainty Component</t>
  </si>
  <si>
    <t>Scenario 2 Activity Uncertainty Component</t>
  </si>
  <si>
    <t>Contribution to Total Scenario 2 Uncertainty</t>
  </si>
  <si>
    <t>Scenario 3 Emission Factor Uncertainty Component</t>
  </si>
  <si>
    <t>Scenario 3 Activity Uncertainty Component</t>
  </si>
  <si>
    <t>Scenario 3 GWP Uncertainty Component</t>
  </si>
  <si>
    <t>Contribution to Total Scenario 3 Uncertainty</t>
  </si>
  <si>
    <t>Scenario 4 Emission Factor Uncertainty Component</t>
  </si>
  <si>
    <t>Scenario 4 Activity Uncertainty Component</t>
  </si>
  <si>
    <t>Scenario 4 GWP Uncertainty Component</t>
  </si>
  <si>
    <t>Contribution to Total Scenario 4 Uncertainty</t>
  </si>
  <si>
    <t>Scenario 5 Emission Factor Uncertainty Component</t>
  </si>
  <si>
    <t>Scenario 5 Activity Uncertainty Component</t>
  </si>
  <si>
    <t>Scenario 5 GWP Uncertainty Component</t>
  </si>
  <si>
    <t>Contribution to Total Scenario 5 Uncertainty</t>
  </si>
  <si>
    <t>7. The Contributions to the Parameter Uncertainty of Each Scenario is Computed</t>
  </si>
  <si>
    <t>9a. The total GHG Inventory and 95% confidence intervals are computed</t>
  </si>
  <si>
    <t>Electricity, Manufacturing</t>
  </si>
  <si>
    <t>Electricity, Assembly</t>
  </si>
  <si>
    <t>Electricity, Use</t>
  </si>
  <si>
    <t>Paper, Use</t>
  </si>
  <si>
    <t>Paper,  packaging</t>
  </si>
  <si>
    <t>Corrugated Board</t>
  </si>
  <si>
    <t>Functional Unit</t>
  </si>
  <si>
    <t>50,000 Pages Printed</t>
  </si>
  <si>
    <t>Defining the system:</t>
  </si>
  <si>
    <t>Impact Assessment Uncertainty</t>
  </si>
  <si>
    <t>Pedigree Matrix</t>
  </si>
  <si>
    <t>Basic Uncertainty Factors by Process Type</t>
  </si>
  <si>
    <t>Scenario 1</t>
  </si>
  <si>
    <t>Scenario 2</t>
  </si>
  <si>
    <t>Scenario 3</t>
  </si>
  <si>
    <t>Scenario 4</t>
  </si>
  <si>
    <t>7. The Components of the Total Geometric Standard Deviations are computed for the Activity Data, Emission Factor Data and for the GWP Data. The GSD2 and GSD are computed automatically based on the data quality ratings, but the user may enter their own GSD for each item if they wish.</t>
  </si>
  <si>
    <t>Step 8: Computing the Contributions to the Parameter Uncertainty for Each Scenario</t>
  </si>
  <si>
    <t>Step 9: The Total GHG Inventory is Computed for each Scenario, including 95% Confidence Intervals</t>
  </si>
  <si>
    <t>1i. At minimum, a GWP from unspecified gases must be entered</t>
  </si>
  <si>
    <t>% GWP from other gases</t>
  </si>
  <si>
    <t>1j. Determine the sensitivity for other gases</t>
  </si>
  <si>
    <t>1k. Determine the total GWP per unit (Kg CO2e per unit)</t>
  </si>
  <si>
    <t>GWP from CO2 GSD2</t>
  </si>
  <si>
    <t>GWP from other gases GSD2</t>
  </si>
  <si>
    <t>3. The percent contributions (sensitivity) to the GHG inventory of each scenario is calculated</t>
  </si>
  <si>
    <t>Activity Data Reliability</t>
  </si>
  <si>
    <t>Activity Data Reliability Factor</t>
  </si>
  <si>
    <t>Emission Factor Data Reliability</t>
  </si>
  <si>
    <t>Reliability</t>
  </si>
  <si>
    <r>
      <rPr>
        <b/>
        <sz val="12"/>
        <rFont val="Arial"/>
        <family val="2"/>
      </rPr>
      <t xml:space="preserve">
Uncertainty Assessment Template for Product GHG Inventories</t>
    </r>
    <r>
      <rPr>
        <sz val="10"/>
        <rFont val="Arial"/>
        <family val="2"/>
      </rPr>
      <t xml:space="preserve">
This file demonstrates a process for applying uncertainty assessment to product GHG inventories under the Greenhouse Gas Protocol. While no aspects of this spreadsheet serve as components of the Greenhouse Gas Protocol Product Standard, the sheet is intended to serve as a complement to the supplementary material supplied for conducting uncertainty assessments. A wide number of methods might be applied to represent uncertainty in product inventories in compliance with the guidance of the standard. The approach presented here is meant only to serve as guidance for those practitioners seeking assistance with a feasible method for making such calculations and is not intended to represent preference within the protocol for any given method.
This file has been prepared by Quantis as part of a contract to the World Business Council for Sustainable Development and World Resources Institute. Questions should be directed to:
     Quantis US
     info.usa@quantis-intl.com
     617-500-7152
     Salem, Massachusetts
Follow the workflow described below to ues this file. Example data has been entered to represent a sample product inventory for a toner cartridge. When using the file to represent another product, data regarding the toner cartridge must be replaced by data regarding the product being assessed. The following discussion is organized by the titles of pages within the file, moving from left to right.
</t>
    </r>
    <r>
      <rPr>
        <b/>
        <u/>
        <sz val="10"/>
        <rFont val="Arial"/>
        <family val="2"/>
      </rPr>
      <t>Notes</t>
    </r>
    <r>
      <rPr>
        <sz val="10"/>
        <rFont val="Arial"/>
      </rPr>
      <t xml:space="preserve">
Tracking sources of uncertainty is a process that should be done throughout the course of conducting a product GHG inventory. Throughout setting the project scope, collecting information and performing analysis, a wide variety of information is addressed and decisions are made that lead to potential uncertainties. The </t>
    </r>
    <r>
      <rPr>
        <i/>
        <sz val="10"/>
        <rFont val="Arial"/>
        <family val="2"/>
      </rPr>
      <t>Notes</t>
    </r>
    <r>
      <rPr>
        <sz val="10"/>
        <rFont val="Arial"/>
      </rPr>
      <t xml:space="preserve"> page provides a template for tracking these uncertainty sources while the product inventory is being compiled and then for keeping additional notes regarding practitioners qualitative assessments of the relative importance of uncertainty sources. This information could be included in a product GHG inventory report.
</t>
    </r>
    <r>
      <rPr>
        <b/>
        <u/>
        <sz val="10"/>
        <rFont val="Arial"/>
        <family val="2"/>
      </rPr>
      <t xml:space="preserve">Info
</t>
    </r>
    <r>
      <rPr>
        <sz val="10"/>
        <rFont val="Arial"/>
        <family val="2"/>
      </rPr>
      <t xml:space="preserve">The </t>
    </r>
    <r>
      <rPr>
        <i/>
        <sz val="10"/>
        <rFont val="Arial"/>
        <family val="2"/>
      </rPr>
      <t>Info</t>
    </r>
    <r>
      <rPr>
        <sz val="10"/>
        <rFont val="Arial"/>
        <family val="2"/>
      </rPr>
      <t xml:space="preserve"> page provides general information that can be changed by the user to modify such things as the names of the product, the functional unit, default values used within the data quality assessment, and the parameters assumed in applying the pedigree matrix to quantify uncertainty from the data quality ratings.
</t>
    </r>
    <r>
      <rPr>
        <b/>
        <u/>
        <sz val="10"/>
        <rFont val="Arial"/>
        <family val="2"/>
      </rPr>
      <t>Calculations</t>
    </r>
    <r>
      <rPr>
        <sz val="10"/>
        <rFont val="Arial"/>
        <family val="2"/>
      </rPr>
      <t xml:space="preserve">
The </t>
    </r>
    <r>
      <rPr>
        <i/>
        <sz val="10"/>
        <rFont val="Arial"/>
        <family val="2"/>
      </rPr>
      <t xml:space="preserve">Calculations </t>
    </r>
    <r>
      <rPr>
        <sz val="10"/>
        <rFont val="Arial"/>
        <family val="2"/>
      </rPr>
      <t xml:space="preserve">page includes a table in which the user can enter the information regarding their product inventory and apply their data quality assessment. The formulas on this page tabulate a quantitative uncertainty measure based on the user's input. These results are displayed in the figure tabs listed below. Specific instructions and descriptions of each step are listed across the page in the second row of the sheet. Required inputs appear with a green header, while optional inputs appear with a blue header. Columns with grey cells and headers are not intended to be editted by the user. The required user inputs include a list of the materials or activities for which their product life cycle has activity data to enter, as well as the emission factors and activity data associated with each. The file is set up to allow four alternative scenarios to be assessed, each with the same categories and emission factors but with differing activity data. These can be used to assess scenario uncertainty. As the user adjusts the data quality ratings for the emission factor data and activity data for each material or activity category, the calculation of total uncertainty is updated. Space is provided for the user to list data attributes, such as geographic and temporal coverage, to facilitate rating the quality of each dataset. As part of the calculation of uncertainty in the inventory, intermediate steps compute the percent contribution of each activity category to the total result, as well as the contribution of each to the uncertainty in the total result. These columns might be referred to by the user to identify those areas of their inventory most responsible for the uncertainty.
</t>
    </r>
    <r>
      <rPr>
        <b/>
        <u/>
        <sz val="10"/>
        <rFont val="Arial"/>
        <family val="2"/>
      </rPr>
      <t xml:space="preserve">Parameter &amp; Scenario Uncertainty
</t>
    </r>
    <r>
      <rPr>
        <sz val="10"/>
        <rFont val="Arial"/>
        <family val="2"/>
      </rPr>
      <t>These pages display graphically the results of the quantitative uncertainty assessment, including the parameter uncertainty for the baseline scenario alone, the results of the scenario tests, and the parameter uncertainty within each of the scenario test results.</t>
    </r>
  </si>
  <si>
    <t xml:space="preserve">To perform an uncertainty assessment using this tool, please change the following example data to specific data for the given product or process. See instruction tab for more details. </t>
  </si>
  <si>
    <t>1c: Identify the data source from which emission factor data is obtained</t>
  </si>
  <si>
    <t>2b: Identify the data source from which activity data is obtained</t>
  </si>
  <si>
    <t>9a. The Geometric Standard Deviation is computed for each Scenario</t>
  </si>
  <si>
    <t>Emission Factor Data Base Uncertainty Factor</t>
  </si>
  <si>
    <t>Emission Factor Data Reliability Factor</t>
  </si>
  <si>
    <t>Emission Factor Data Completeness Factor</t>
  </si>
  <si>
    <t>Emission Factor Data Temporal Representativeness Factor</t>
  </si>
  <si>
    <t>Emission Factor Data Geographic Representativeness Factor</t>
  </si>
  <si>
    <t>Emission Factor Data Technological Representativeness Factor</t>
  </si>
  <si>
    <t>Aluminum</t>
  </si>
  <si>
    <t>To perform an uncertainty assessment using this tool, please change the following example parameters to specific parameters for the given product or process. See instruction tab for more details.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</si>
</sst>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E+0;[=0]&quot;0&quot;;0.00E+0"/>
    <numFmt numFmtId="165" formatCode="0.0000"/>
    <numFmt numFmtId="166" formatCode="0.00000"/>
    <numFmt numFmtId="167" formatCode="_-* #,##0.00\ _€_-;\-* #,##0.00\ _€_-;_-* &quot;-&quot;??\ _€_-;_-@_-"/>
    <numFmt numFmtId="168" formatCode="0.000000000000000"/>
  </numFmts>
  <fonts count="1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b/>
      <u/>
      <sz val="10"/>
      <name val="Arial"/>
      <family val="2"/>
    </font>
    <font>
      <sz val="10"/>
      <name val="Calibri"/>
      <family val="2"/>
      <scheme val="minor"/>
    </font>
    <font>
      <i/>
      <sz val="10"/>
      <name val="Calibri"/>
      <family val="2"/>
      <scheme val="minor"/>
    </font>
    <font>
      <i/>
      <sz val="11"/>
      <name val="Calibri"/>
      <family val="2"/>
      <scheme val="minor"/>
    </font>
    <font>
      <sz val="11"/>
      <color indexed="8"/>
      <name val="Calibri"/>
      <family val="2"/>
    </font>
    <font>
      <sz val="18"/>
      <name val="Calibri"/>
      <family val="2"/>
      <scheme val="minor"/>
    </font>
    <font>
      <sz val="20"/>
      <name val="Calibri"/>
      <family val="2"/>
      <scheme val="minor"/>
    </font>
    <font>
      <b/>
      <sz val="11"/>
      <name val="Calibri"/>
      <family val="2"/>
      <scheme val="minor"/>
    </font>
    <font>
      <sz val="10"/>
      <color theme="0"/>
      <name val="Arial"/>
      <family val="2"/>
    </font>
    <font>
      <i/>
      <sz val="10"/>
      <name val="Arial"/>
      <family val="2"/>
    </font>
    <font>
      <b/>
      <sz val="12"/>
      <name val="Arial"/>
      <family val="2"/>
    </font>
    <font>
      <sz val="16"/>
      <name val="Arial"/>
      <family val="2"/>
    </font>
    <font>
      <b/>
      <sz val="12"/>
      <color rgb="FFFF0000"/>
      <name val="Arial"/>
      <family val="2"/>
    </font>
  </fonts>
  <fills count="1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indexed="31"/>
      </patternFill>
    </fill>
    <fill>
      <patternFill patternType="solid">
        <fgColor indexed="45"/>
      </patternFill>
    </fill>
    <fill>
      <patternFill patternType="solid">
        <fgColor indexed="14"/>
      </patternFill>
    </fill>
    <fill>
      <patternFill patternType="solid">
        <fgColor theme="0" tint="-0.149998474074526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249977111117893"/>
        <bgColor indexed="64"/>
      </patternFill>
    </fill>
    <fill>
      <patternFill patternType="solid">
        <fgColor theme="3"/>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7" tint="0.79998168889431442"/>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s>
  <cellStyleXfs count="37">
    <xf numFmtId="0" fontId="0" fillId="0" borderId="0"/>
    <xf numFmtId="166" fontId="4"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164" fontId="4" fillId="0" borderId="0">
      <alignment horizontal="center" vertical="center"/>
    </xf>
    <xf numFmtId="0" fontId="4" fillId="0" borderId="0">
      <alignment horizontal="center" vertical="center"/>
    </xf>
    <xf numFmtId="167" fontId="4" fillId="0" borderId="0" applyFont="0" applyFill="0" applyBorder="0" applyAlignment="0" applyProtection="0"/>
    <xf numFmtId="43" fontId="2"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166" fontId="4" fillId="0" borderId="0" applyFont="0" applyFill="0" applyBorder="0" applyAlignment="0" applyProtection="0"/>
    <xf numFmtId="43" fontId="10" fillId="0" borderId="0" applyFont="0" applyFill="0" applyBorder="0" applyAlignment="0" applyProtection="0"/>
    <xf numFmtId="167" fontId="4" fillId="0" borderId="0" applyFont="0" applyFill="0" applyBorder="0" applyAlignment="0" applyProtection="0"/>
    <xf numFmtId="0" fontId="4" fillId="0" borderId="0"/>
    <xf numFmtId="0" fontId="10" fillId="0" borderId="0"/>
    <xf numFmtId="0" fontId="4" fillId="0" borderId="0"/>
    <xf numFmtId="164" fontId="4" fillId="0" borderId="0">
      <alignment horizontal="center" vertical="center"/>
    </xf>
    <xf numFmtId="0" fontId="4" fillId="0" borderId="0">
      <alignment horizontal="center" vertical="center"/>
    </xf>
    <xf numFmtId="164" fontId="4" fillId="0" borderId="0">
      <alignment horizontal="center" vertical="center"/>
    </xf>
    <xf numFmtId="0" fontId="3" fillId="0" borderId="0"/>
    <xf numFmtId="164" fontId="3" fillId="0" borderId="0">
      <alignment horizontal="center" vertical="center"/>
    </xf>
    <xf numFmtId="0" fontId="1" fillId="0" borderId="0"/>
    <xf numFmtId="164" fontId="3" fillId="0" borderId="0">
      <alignment horizontal="center" vertical="center"/>
    </xf>
    <xf numFmtId="167" fontId="3" fillId="0" borderId="0" applyFont="0" applyFill="0" applyBorder="0" applyAlignment="0" applyProtection="0"/>
  </cellStyleXfs>
  <cellXfs count="131">
    <xf numFmtId="0" fontId="0" fillId="0" borderId="0" xfId="0"/>
    <xf numFmtId="0" fontId="6" fillId="0" borderId="0" xfId="0" applyFont="1" applyAlignment="1">
      <alignment horizontal="center"/>
    </xf>
    <xf numFmtId="0" fontId="7" fillId="0" borderId="2" xfId="0" applyFont="1" applyBorder="1"/>
    <xf numFmtId="0" fontId="7" fillId="5" borderId="2" xfId="0" applyFont="1" applyFill="1" applyBorder="1" applyAlignment="1">
      <alignment horizontal="center"/>
    </xf>
    <xf numFmtId="0" fontId="7" fillId="4" borderId="2" xfId="0" applyFont="1" applyFill="1" applyBorder="1" applyAlignment="1">
      <alignment horizontal="center" vertical="center" textRotation="90" wrapText="1"/>
    </xf>
    <xf numFmtId="0" fontId="7" fillId="2" borderId="2" xfId="0" applyFont="1" applyFill="1" applyBorder="1" applyAlignment="1">
      <alignment horizontal="center" vertical="center" textRotation="90" wrapText="1"/>
    </xf>
    <xf numFmtId="0" fontId="7" fillId="0" borderId="2" xfId="0" applyFont="1" applyFill="1" applyBorder="1"/>
    <xf numFmtId="0" fontId="7" fillId="0" borderId="1" xfId="0" applyFont="1" applyFill="1" applyBorder="1" applyAlignment="1">
      <alignment vertical="center" wrapText="1"/>
    </xf>
    <xf numFmtId="0" fontId="7" fillId="10" borderId="2" xfId="0" applyFont="1" applyFill="1" applyBorder="1" applyAlignment="1">
      <alignment horizontal="center" vertical="center" textRotation="90" wrapText="1"/>
    </xf>
    <xf numFmtId="0" fontId="9" fillId="0" borderId="5" xfId="0" applyFont="1" applyFill="1" applyBorder="1" applyAlignment="1">
      <alignment horizontal="center" textRotation="90" wrapText="1"/>
    </xf>
    <xf numFmtId="49" fontId="9" fillId="0" borderId="5" xfId="0" applyNumberFormat="1" applyFont="1" applyFill="1" applyBorder="1" applyAlignment="1">
      <alignment horizontal="center" textRotation="90" wrapText="1"/>
    </xf>
    <xf numFmtId="0" fontId="7" fillId="0" borderId="2" xfId="0" applyFont="1" applyFill="1" applyBorder="1" applyAlignment="1">
      <alignment horizontal="center"/>
    </xf>
    <xf numFmtId="49" fontId="7" fillId="0" borderId="2" xfId="0" applyNumberFormat="1" applyFont="1" applyFill="1" applyBorder="1"/>
    <xf numFmtId="0" fontId="7" fillId="11" borderId="2" xfId="0" applyFont="1" applyFill="1" applyBorder="1" applyAlignment="1">
      <alignment horizontal="center" vertical="center" textRotation="90" wrapText="1"/>
    </xf>
    <xf numFmtId="0" fontId="7" fillId="12" borderId="2" xfId="0" applyFont="1" applyFill="1" applyBorder="1" applyAlignment="1">
      <alignment horizontal="center" vertical="center" textRotation="90" wrapText="1"/>
    </xf>
    <xf numFmtId="0" fontId="7" fillId="0" borderId="5" xfId="0" applyFont="1" applyFill="1" applyBorder="1" applyAlignment="1">
      <alignment horizontal="center" textRotation="90" wrapText="1"/>
    </xf>
    <xf numFmtId="0" fontId="7" fillId="0" borderId="2" xfId="0" applyFont="1" applyFill="1" applyBorder="1" applyAlignment="1">
      <alignment horizontal="right" vertical="center" wrapText="1"/>
    </xf>
    <xf numFmtId="2" fontId="7" fillId="5" borderId="2" xfId="0" applyNumberFormat="1" applyFont="1" applyFill="1" applyBorder="1" applyAlignment="1">
      <alignment horizontal="center"/>
    </xf>
    <xf numFmtId="0" fontId="7" fillId="0" borderId="1" xfId="0" applyFont="1" applyFill="1" applyBorder="1" applyAlignment="1">
      <alignment wrapText="1"/>
    </xf>
    <xf numFmtId="2" fontId="7" fillId="0" borderId="2" xfId="0" applyNumberFormat="1" applyFont="1" applyFill="1" applyBorder="1" applyAlignment="1">
      <alignment wrapText="1"/>
    </xf>
    <xf numFmtId="0" fontId="7" fillId="0" borderId="2" xfId="0" applyFont="1" applyFill="1" applyBorder="1" applyAlignment="1">
      <alignment horizontal="center" wrapText="1"/>
    </xf>
    <xf numFmtId="0" fontId="7" fillId="5" borderId="2" xfId="0" applyFont="1" applyFill="1" applyBorder="1" applyAlignment="1">
      <alignment horizontal="center" wrapText="1"/>
    </xf>
    <xf numFmtId="1" fontId="7" fillId="0" borderId="2" xfId="0" applyNumberFormat="1" applyFont="1" applyFill="1" applyBorder="1" applyAlignment="1">
      <alignment horizontal="center" wrapText="1"/>
    </xf>
    <xf numFmtId="0" fontId="7" fillId="0" borderId="2" xfId="0" applyFont="1" applyFill="1" applyBorder="1" applyAlignment="1">
      <alignment wrapText="1"/>
    </xf>
    <xf numFmtId="0" fontId="7" fillId="0" borderId="2" xfId="0" applyFont="1" applyBorder="1" applyAlignment="1">
      <alignment wrapText="1"/>
    </xf>
    <xf numFmtId="2" fontId="7" fillId="0" borderId="2" xfId="0" applyNumberFormat="1" applyFont="1" applyFill="1" applyBorder="1" applyAlignment="1">
      <alignment horizontal="center" wrapText="1"/>
    </xf>
    <xf numFmtId="0" fontId="7" fillId="0" borderId="8" xfId="0" applyFont="1" applyFill="1" applyBorder="1" applyAlignment="1">
      <alignment horizontal="left" wrapText="1"/>
    </xf>
    <xf numFmtId="165" fontId="7" fillId="0" borderId="2" xfId="0" applyNumberFormat="1" applyFont="1" applyFill="1" applyBorder="1" applyAlignment="1">
      <alignment horizontal="center" wrapText="1"/>
    </xf>
    <xf numFmtId="0" fontId="7" fillId="0" borderId="8" xfId="3" applyFont="1" applyFill="1" applyBorder="1" applyAlignment="1">
      <alignment horizontal="left" wrapText="1"/>
    </xf>
    <xf numFmtId="49" fontId="7" fillId="0" borderId="2" xfId="0" applyNumberFormat="1" applyFont="1" applyFill="1" applyBorder="1" applyAlignment="1">
      <alignment wrapText="1"/>
    </xf>
    <xf numFmtId="0" fontId="13" fillId="0" borderId="7" xfId="0" applyFont="1" applyFill="1" applyBorder="1" applyAlignment="1">
      <alignment horizontal="center" textRotation="90" wrapText="1"/>
    </xf>
    <xf numFmtId="0" fontId="7" fillId="0" borderId="8" xfId="32" applyFont="1" applyFill="1" applyBorder="1" applyAlignment="1">
      <alignment horizontal="left" wrapText="1"/>
    </xf>
    <xf numFmtId="0" fontId="7" fillId="0" borderId="2" xfId="0" applyFont="1" applyFill="1" applyBorder="1" applyAlignment="1">
      <alignment vertical="center" wrapText="1"/>
    </xf>
    <xf numFmtId="0" fontId="8" fillId="0" borderId="5" xfId="0" applyFont="1" applyFill="1" applyBorder="1" applyAlignment="1">
      <alignment horizontal="center" textRotation="90" wrapText="1"/>
    </xf>
    <xf numFmtId="2" fontId="7" fillId="0" borderId="5" xfId="0" applyNumberFormat="1" applyFont="1" applyFill="1" applyBorder="1" applyAlignment="1">
      <alignment horizontal="center" textRotation="90" wrapText="1"/>
    </xf>
    <xf numFmtId="2" fontId="7" fillId="0" borderId="10" xfId="0" applyNumberFormat="1" applyFont="1" applyFill="1" applyBorder="1" applyAlignment="1">
      <alignment horizontal="center" textRotation="90" wrapText="1"/>
    </xf>
    <xf numFmtId="0" fontId="7" fillId="0" borderId="10" xfId="0" applyFont="1" applyFill="1" applyBorder="1" applyAlignment="1">
      <alignment horizontal="center" textRotation="90" wrapText="1"/>
    </xf>
    <xf numFmtId="166" fontId="7" fillId="0" borderId="10" xfId="0" applyNumberFormat="1" applyFont="1" applyFill="1" applyBorder="1" applyAlignment="1">
      <alignment horizontal="center" textRotation="90" wrapText="1"/>
    </xf>
    <xf numFmtId="0" fontId="7" fillId="0" borderId="2" xfId="0" applyFont="1" applyFill="1" applyBorder="1" applyAlignment="1">
      <alignment horizontal="center" textRotation="90" wrapText="1"/>
    </xf>
    <xf numFmtId="166" fontId="7" fillId="12" borderId="9" xfId="0" applyNumberFormat="1" applyFont="1" applyFill="1" applyBorder="1" applyAlignment="1">
      <alignment horizontal="center" textRotation="90" wrapText="1"/>
    </xf>
    <xf numFmtId="0" fontId="7" fillId="12" borderId="5" xfId="0" applyNumberFormat="1" applyFont="1" applyFill="1" applyBorder="1" applyAlignment="1">
      <alignment wrapText="1"/>
    </xf>
    <xf numFmtId="0" fontId="7" fillId="12" borderId="2" xfId="0" applyNumberFormat="1" applyFont="1" applyFill="1" applyBorder="1" applyAlignment="1">
      <alignment wrapText="1"/>
    </xf>
    <xf numFmtId="0" fontId="7" fillId="12" borderId="6" xfId="0" applyNumberFormat="1" applyFont="1" applyFill="1" applyBorder="1" applyAlignment="1">
      <alignment wrapText="1"/>
    </xf>
    <xf numFmtId="0" fontId="7" fillId="12" borderId="2" xfId="0" applyFont="1" applyFill="1" applyBorder="1" applyAlignment="1">
      <alignment wrapText="1"/>
    </xf>
    <xf numFmtId="0" fontId="7" fillId="12" borderId="2" xfId="0" applyFont="1" applyFill="1" applyBorder="1"/>
    <xf numFmtId="0" fontId="7" fillId="9" borderId="2" xfId="0" applyFont="1" applyFill="1" applyBorder="1" applyAlignment="1">
      <alignment horizontal="center" vertical="center" wrapText="1"/>
    </xf>
    <xf numFmtId="0" fontId="7" fillId="9" borderId="2" xfId="0" applyFont="1" applyFill="1" applyBorder="1" applyAlignment="1">
      <alignment wrapText="1"/>
    </xf>
    <xf numFmtId="10" fontId="7" fillId="0" borderId="5" xfId="11" applyNumberFormat="1" applyFont="1" applyFill="1" applyBorder="1" applyAlignment="1">
      <alignment horizontal="center" textRotation="90" wrapText="1"/>
    </xf>
    <xf numFmtId="0" fontId="7" fillId="0" borderId="2" xfId="0" applyFont="1" applyFill="1" applyBorder="1" applyAlignment="1">
      <alignment horizontal="center" vertical="center" wrapText="1"/>
    </xf>
    <xf numFmtId="168" fontId="7" fillId="0" borderId="2" xfId="0" applyNumberFormat="1" applyFont="1" applyFill="1" applyBorder="1" applyAlignment="1">
      <alignment horizontal="center" wrapText="1"/>
    </xf>
    <xf numFmtId="2" fontId="7" fillId="4" borderId="2" xfId="0" applyNumberFormat="1" applyFont="1" applyFill="1" applyBorder="1" applyAlignment="1">
      <alignment horizontal="center" wrapText="1"/>
    </xf>
    <xf numFmtId="0" fontId="7" fillId="4" borderId="2" xfId="0" applyFont="1" applyFill="1" applyBorder="1" applyAlignment="1">
      <alignment horizontal="center" wrapText="1"/>
    </xf>
    <xf numFmtId="0" fontId="7" fillId="4" borderId="2" xfId="0" applyFont="1" applyFill="1" applyBorder="1" applyAlignment="1">
      <alignment horizontal="center"/>
    </xf>
    <xf numFmtId="2" fontId="7" fillId="5" borderId="2" xfId="0" applyNumberFormat="1" applyFont="1" applyFill="1" applyBorder="1" applyAlignment="1">
      <alignment horizontal="center" wrapText="1"/>
    </xf>
    <xf numFmtId="10" fontId="7" fillId="5" borderId="2" xfId="11" applyNumberFormat="1" applyFont="1" applyFill="1" applyBorder="1" applyAlignment="1">
      <alignment horizontal="center" wrapText="1"/>
    </xf>
    <xf numFmtId="0" fontId="7" fillId="5" borderId="5" xfId="0" applyNumberFormat="1" applyFont="1" applyFill="1" applyBorder="1" applyAlignment="1">
      <alignment horizontal="center" wrapText="1"/>
    </xf>
    <xf numFmtId="0" fontId="7" fillId="5" borderId="2" xfId="0" applyNumberFormat="1" applyFont="1" applyFill="1" applyBorder="1" applyAlignment="1">
      <alignment horizontal="center" wrapText="1"/>
    </xf>
    <xf numFmtId="0" fontId="7" fillId="5" borderId="6" xfId="0" applyNumberFormat="1" applyFont="1" applyFill="1" applyBorder="1" applyAlignment="1">
      <alignment horizontal="center" wrapText="1"/>
    </xf>
    <xf numFmtId="10" fontId="7" fillId="5" borderId="2" xfId="11" applyNumberFormat="1" applyFont="1" applyFill="1" applyBorder="1" applyAlignment="1">
      <alignment horizontal="center"/>
    </xf>
    <xf numFmtId="0" fontId="0" fillId="13" borderId="0" xfId="0" applyFill="1"/>
    <xf numFmtId="0" fontId="0" fillId="3" borderId="0" xfId="0" applyFill="1"/>
    <xf numFmtId="0" fontId="3" fillId="3" borderId="2" xfId="0" applyFont="1" applyFill="1" applyBorder="1"/>
    <xf numFmtId="0" fontId="4" fillId="3" borderId="0" xfId="0" applyFont="1" applyFill="1"/>
    <xf numFmtId="0" fontId="14" fillId="3" borderId="0" xfId="0" applyFont="1" applyFill="1"/>
    <xf numFmtId="0" fontId="0" fillId="3" borderId="2" xfId="0" applyFill="1" applyBorder="1"/>
    <xf numFmtId="0" fontId="0" fillId="3" borderId="0" xfId="0" applyFill="1" applyBorder="1"/>
    <xf numFmtId="0" fontId="3" fillId="3" borderId="2" xfId="0" applyFont="1" applyFill="1" applyBorder="1" applyAlignment="1">
      <alignment wrapText="1"/>
    </xf>
    <xf numFmtId="0" fontId="0" fillId="3" borderId="0" xfId="0" applyFill="1" applyAlignment="1">
      <alignment horizontal="left"/>
    </xf>
    <xf numFmtId="0" fontId="4" fillId="3" borderId="0" xfId="0" applyFont="1" applyFill="1" applyAlignment="1">
      <alignment horizontal="left"/>
    </xf>
    <xf numFmtId="0" fontId="4" fillId="14" borderId="2" xfId="0" applyFont="1" applyFill="1" applyBorder="1"/>
    <xf numFmtId="0" fontId="3" fillId="14" borderId="2" xfId="0" applyFont="1" applyFill="1" applyBorder="1"/>
    <xf numFmtId="0" fontId="0" fillId="14" borderId="2" xfId="0" applyFill="1" applyBorder="1"/>
    <xf numFmtId="0" fontId="3" fillId="14" borderId="2" xfId="0" applyFont="1" applyFill="1" applyBorder="1" applyAlignment="1">
      <alignment horizontal="center"/>
    </xf>
    <xf numFmtId="0" fontId="17" fillId="3" borderId="0" xfId="0" applyFont="1" applyFill="1" applyAlignment="1">
      <alignment horizontal="left"/>
    </xf>
    <xf numFmtId="0" fontId="17" fillId="3" borderId="0" xfId="0" applyFont="1" applyFill="1"/>
    <xf numFmtId="0" fontId="17" fillId="3" borderId="0" xfId="0" applyFont="1" applyFill="1" applyBorder="1"/>
    <xf numFmtId="0" fontId="7" fillId="0" borderId="5" xfId="0" applyNumberFormat="1" applyFont="1" applyFill="1" applyBorder="1" applyAlignment="1">
      <alignment horizontal="center" wrapText="1"/>
    </xf>
    <xf numFmtId="0" fontId="7" fillId="0" borderId="2" xfId="0" applyNumberFormat="1" applyFont="1" applyFill="1" applyBorder="1" applyAlignment="1">
      <alignment horizontal="center" wrapText="1"/>
    </xf>
    <xf numFmtId="0" fontId="7" fillId="0" borderId="6" xfId="0" applyNumberFormat="1" applyFont="1" applyFill="1" applyBorder="1" applyAlignment="1">
      <alignment horizontal="center" wrapText="1"/>
    </xf>
    <xf numFmtId="2" fontId="7" fillId="0" borderId="2" xfId="0" applyNumberFormat="1" applyFont="1" applyFill="1" applyBorder="1" applyAlignment="1">
      <alignment horizontal="center"/>
    </xf>
    <xf numFmtId="0" fontId="7" fillId="15" borderId="2" xfId="0" applyFont="1" applyFill="1" applyBorder="1" applyAlignment="1">
      <alignment wrapText="1"/>
    </xf>
    <xf numFmtId="2" fontId="7" fillId="15" borderId="2" xfId="0" applyNumberFormat="1" applyFont="1" applyFill="1" applyBorder="1" applyAlignment="1">
      <alignment wrapText="1"/>
    </xf>
    <xf numFmtId="0" fontId="11" fillId="16" borderId="1" xfId="0" applyFont="1" applyFill="1" applyBorder="1" applyAlignment="1">
      <alignment horizontal="left" wrapText="1"/>
    </xf>
    <xf numFmtId="0" fontId="7" fillId="16" borderId="2" xfId="0" applyFont="1" applyFill="1" applyBorder="1" applyAlignment="1">
      <alignment wrapText="1"/>
    </xf>
    <xf numFmtId="0" fontId="18" fillId="3" borderId="0" xfId="0" applyFont="1" applyFill="1"/>
    <xf numFmtId="0" fontId="7" fillId="0" borderId="4" xfId="0" applyFont="1" applyFill="1" applyBorder="1"/>
    <xf numFmtId="49" fontId="7" fillId="0" borderId="4" xfId="0" applyNumberFormat="1" applyFont="1" applyFill="1" applyBorder="1"/>
    <xf numFmtId="0" fontId="7" fillId="0" borderId="4" xfId="0" applyFont="1" applyFill="1" applyBorder="1" applyAlignment="1">
      <alignment horizontal="center"/>
    </xf>
    <xf numFmtId="0" fontId="7" fillId="4" borderId="1" xfId="0" applyFont="1" applyFill="1" applyBorder="1" applyAlignment="1">
      <alignment horizontal="center"/>
    </xf>
    <xf numFmtId="0" fontId="7" fillId="0" borderId="1" xfId="0" applyFont="1" applyFill="1" applyBorder="1" applyAlignment="1">
      <alignment horizontal="center"/>
    </xf>
    <xf numFmtId="2" fontId="7" fillId="5" borderId="3" xfId="0" applyNumberFormat="1"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10" fontId="7" fillId="5" borderId="3" xfId="11" applyNumberFormat="1" applyFont="1" applyFill="1" applyBorder="1" applyAlignment="1">
      <alignment horizontal="center"/>
    </xf>
    <xf numFmtId="10" fontId="7" fillId="5" borderId="4" xfId="11" applyNumberFormat="1" applyFont="1" applyFill="1" applyBorder="1" applyAlignment="1">
      <alignment horizontal="center"/>
    </xf>
    <xf numFmtId="10" fontId="7" fillId="5" borderId="1" xfId="11" applyNumberFormat="1" applyFont="1" applyFill="1" applyBorder="1" applyAlignment="1">
      <alignment horizontal="center"/>
    </xf>
    <xf numFmtId="0" fontId="7" fillId="0" borderId="3" xfId="0" applyFont="1" applyFill="1" applyBorder="1" applyAlignment="1">
      <alignment horizontal="center"/>
    </xf>
    <xf numFmtId="2" fontId="7" fillId="0" borderId="4" xfId="0" applyNumberFormat="1" applyFont="1" applyFill="1" applyBorder="1" applyAlignment="1">
      <alignment horizontal="center"/>
    </xf>
    <xf numFmtId="2" fontId="7" fillId="5" borderId="4" xfId="0" applyNumberFormat="1" applyFont="1" applyFill="1" applyBorder="1" applyAlignment="1">
      <alignment horizontal="center"/>
    </xf>
    <xf numFmtId="0" fontId="7" fillId="5" borderId="3" xfId="0" applyFont="1" applyFill="1" applyBorder="1" applyAlignment="1">
      <alignment horizontal="center"/>
    </xf>
    <xf numFmtId="0" fontId="7" fillId="12" borderId="1" xfId="0" applyFont="1" applyFill="1" applyBorder="1"/>
    <xf numFmtId="0" fontId="7" fillId="0" borderId="3" xfId="0" applyFont="1" applyBorder="1"/>
    <xf numFmtId="0" fontId="7" fillId="0" borderId="4" xfId="0" applyFont="1" applyBorder="1"/>
    <xf numFmtId="0" fontId="7" fillId="0" borderId="1" xfId="0" applyFont="1" applyBorder="1"/>
    <xf numFmtId="0" fontId="3" fillId="3" borderId="0" xfId="0" applyFont="1" applyFill="1" applyAlignment="1">
      <alignment horizontal="left" vertical="top" wrapText="1"/>
    </xf>
    <xf numFmtId="0" fontId="0" fillId="14" borderId="2" xfId="0" applyFill="1" applyBorder="1" applyAlignment="1">
      <alignment horizontal="left"/>
    </xf>
    <xf numFmtId="0" fontId="3" fillId="14" borderId="2" xfId="0" applyFont="1" applyFill="1" applyBorder="1" applyAlignment="1">
      <alignment horizontal="left"/>
    </xf>
    <xf numFmtId="10" fontId="11" fillId="16" borderId="3" xfId="11" applyNumberFormat="1" applyFont="1" applyFill="1" applyBorder="1" applyAlignment="1">
      <alignment horizontal="left" wrapText="1"/>
    </xf>
    <xf numFmtId="10" fontId="11" fillId="16" borderId="4" xfId="11" applyNumberFormat="1" applyFont="1" applyFill="1" applyBorder="1" applyAlignment="1">
      <alignment horizontal="left" wrapText="1"/>
    </xf>
    <xf numFmtId="10" fontId="11" fillId="16" borderId="1" xfId="11" applyNumberFormat="1" applyFont="1" applyFill="1" applyBorder="1" applyAlignment="1">
      <alignment horizontal="left" wrapText="1"/>
    </xf>
    <xf numFmtId="0" fontId="11" fillId="16" borderId="3" xfId="0" applyFont="1" applyFill="1" applyBorder="1" applyAlignment="1">
      <alignment horizontal="left" wrapText="1"/>
    </xf>
    <xf numFmtId="0" fontId="11" fillId="16" borderId="4" xfId="0" applyFont="1" applyFill="1" applyBorder="1" applyAlignment="1">
      <alignment horizontal="left" wrapText="1"/>
    </xf>
    <xf numFmtId="0" fontId="11" fillId="16" borderId="1" xfId="0" applyFont="1" applyFill="1" applyBorder="1" applyAlignment="1">
      <alignment horizontal="left" wrapText="1"/>
    </xf>
    <xf numFmtId="0" fontId="7" fillId="11" borderId="3" xfId="0" applyFont="1" applyFill="1" applyBorder="1" applyAlignment="1">
      <alignment horizontal="center" vertical="center" textRotation="90" wrapText="1"/>
    </xf>
    <xf numFmtId="0" fontId="7" fillId="11" borderId="4" xfId="0" applyFont="1" applyFill="1" applyBorder="1" applyAlignment="1">
      <alignment horizontal="center" vertical="center" textRotation="90" wrapText="1"/>
    </xf>
    <xf numFmtId="0" fontId="7" fillId="11" borderId="1" xfId="0" applyFont="1" applyFill="1" applyBorder="1" applyAlignment="1">
      <alignment horizontal="center" vertical="center" textRotation="90" wrapText="1"/>
    </xf>
    <xf numFmtId="0" fontId="12" fillId="16" borderId="3" xfId="0" applyFont="1" applyFill="1" applyBorder="1" applyAlignment="1">
      <alignment horizontal="left" wrapText="1"/>
    </xf>
    <xf numFmtId="0" fontId="12" fillId="16" borderId="4" xfId="0" applyFont="1" applyFill="1" applyBorder="1" applyAlignment="1">
      <alignment horizontal="left" wrapText="1"/>
    </xf>
    <xf numFmtId="0" fontId="12" fillId="16" borderId="1" xfId="0" applyFont="1" applyFill="1" applyBorder="1" applyAlignment="1">
      <alignment horizontal="left" wrapText="1"/>
    </xf>
    <xf numFmtId="0" fontId="7" fillId="5" borderId="3"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1" xfId="0" applyFont="1" applyFill="1" applyBorder="1" applyAlignment="1">
      <alignment horizontal="center" vertical="center" textRotation="90" wrapText="1"/>
    </xf>
    <xf numFmtId="2" fontId="7" fillId="5" borderId="3" xfId="0" applyNumberFormat="1" applyFont="1" applyFill="1" applyBorder="1" applyAlignment="1">
      <alignment horizontal="center" vertical="center" textRotation="90" wrapText="1"/>
    </xf>
    <xf numFmtId="2" fontId="7" fillId="5" borderId="4" xfId="0" applyNumberFormat="1" applyFont="1" applyFill="1" applyBorder="1" applyAlignment="1">
      <alignment horizontal="center" vertical="center" textRotation="90" wrapText="1"/>
    </xf>
    <xf numFmtId="2" fontId="7" fillId="5" borderId="1" xfId="0" applyNumberFormat="1" applyFont="1" applyFill="1" applyBorder="1" applyAlignment="1">
      <alignment horizontal="center" vertical="center" textRotation="90" wrapText="1"/>
    </xf>
    <xf numFmtId="10" fontId="7" fillId="5" borderId="3" xfId="11" applyNumberFormat="1" applyFont="1" applyFill="1" applyBorder="1" applyAlignment="1">
      <alignment horizontal="center" vertical="center" textRotation="90" wrapText="1"/>
    </xf>
    <xf numFmtId="10" fontId="7" fillId="5" borderId="4" xfId="11" applyNumberFormat="1" applyFont="1" applyFill="1" applyBorder="1" applyAlignment="1">
      <alignment horizontal="center" vertical="center" textRotation="90" wrapText="1"/>
    </xf>
    <xf numFmtId="10" fontId="7" fillId="5" borderId="1" xfId="11" applyNumberFormat="1" applyFont="1" applyFill="1" applyBorder="1" applyAlignment="1">
      <alignment horizontal="center" vertical="center" textRotation="90" wrapText="1"/>
    </xf>
    <xf numFmtId="2" fontId="11" fillId="16" borderId="3" xfId="0" applyNumberFormat="1" applyFont="1" applyFill="1" applyBorder="1" applyAlignment="1">
      <alignment horizontal="left" wrapText="1"/>
    </xf>
    <xf numFmtId="2" fontId="11" fillId="16" borderId="4" xfId="0" applyNumberFormat="1" applyFont="1" applyFill="1" applyBorder="1" applyAlignment="1">
      <alignment horizontal="left" wrapText="1"/>
    </xf>
    <xf numFmtId="2" fontId="11" fillId="16" borderId="1" xfId="0" applyNumberFormat="1" applyFont="1" applyFill="1" applyBorder="1" applyAlignment="1">
      <alignment horizontal="left" wrapText="1"/>
    </xf>
  </cellXfs>
  <cellStyles count="37">
    <cellStyle name="20% - Accent1 2" xfId="19"/>
    <cellStyle name="20% - Accent2 2" xfId="20"/>
    <cellStyle name="Accent1 - 20 %" xfId="21"/>
    <cellStyle name="Accent2 - 20 %" xfId="22"/>
    <cellStyle name="Comma 2" xfId="1"/>
    <cellStyle name="Comma 2 2" xfId="23"/>
    <cellStyle name="Comma 3" xfId="2"/>
    <cellStyle name="Comma 3 2" xfId="24"/>
    <cellStyle name="Comma 3 3" xfId="15"/>
    <cellStyle name="Comma 4" xfId="25"/>
    <cellStyle name="Comma 4 2" xfId="36"/>
    <cellStyle name="Comma 5" xfId="14"/>
    <cellStyle name="Normal" xfId="0" builtinId="0"/>
    <cellStyle name="Normal 2" xfId="3"/>
    <cellStyle name="Normal 2 2" xfId="26"/>
    <cellStyle name="Normal 3" xfId="4"/>
    <cellStyle name="Normal 3 2" xfId="27"/>
    <cellStyle name="Normal 3 3" xfId="16"/>
    <cellStyle name="Normal 3 4" xfId="34"/>
    <cellStyle name="Normal 4" xfId="32"/>
    <cellStyle name="Normal 4 2" xfId="5"/>
    <cellStyle name="Normal 4 3" xfId="6"/>
    <cellStyle name="Normal 4 4" xfId="7"/>
    <cellStyle name="Normal 4 5" xfId="8"/>
    <cellStyle name="Normal 4 6" xfId="9"/>
    <cellStyle name="Normal 5" xfId="10"/>
    <cellStyle name="Normal 9" xfId="17"/>
    <cellStyle name="Normal 9 2" xfId="28"/>
    <cellStyle name="Percent" xfId="11" builtinId="5"/>
    <cellStyle name="Percent 2" xfId="18"/>
    <cellStyle name="wissenschaft-Eingabe" xfId="12"/>
    <cellStyle name="wissenschaft-Eingabe 2" xfId="13"/>
    <cellStyle name="wissenschaft-Eingabe 2 2" xfId="30"/>
    <cellStyle name="wissenschaft-Eingabe 3" xfId="29"/>
    <cellStyle name="wissenschaft-Eingabe 3 2" xfId="35"/>
    <cellStyle name="wissenschaft-Eingabe 4" xfId="33"/>
    <cellStyle name="wissenschaft-Eingabe_Nestle_LCA_Ricoré_Data_and_Calculs_25Oct2009.xls" xfId="31"/>
  </cellStyles>
  <dxfs count="96">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fill>
        <patternFill patternType="solid">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solid">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2" formatCode="0.00"/>
      <fill>
        <patternFill>
          <fgColor indexed="64"/>
          <bgColor theme="1" tint="0.34998626667073579"/>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2" formatCode="0.00"/>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scheme val="minor"/>
      </font>
      <fill>
        <patternFill patternType="none">
          <fgColor indexed="64"/>
          <bgColor auto="1"/>
        </patternFill>
      </fill>
      <alignment horizontal="center" wrapText="1" indent="0" justifyLastLine="0" shrinkToFit="0" readingOrder="0"/>
      <border outline="0">
        <left style="thin">
          <color indexed="64"/>
        </left>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scheme val="minor"/>
      </font>
      <fill>
        <patternFill patternType="none">
          <fgColor indexed="64"/>
          <bgColor auto="1"/>
        </patternFill>
      </fill>
      <alignment horizontal="center" wrapText="1" indent="0" justifyLastLine="0" shrinkToFit="0" readingOrder="0"/>
      <border outline="0">
        <left style="thin">
          <color indexed="64"/>
        </left>
      </border>
    </dxf>
    <dxf>
      <font>
        <b val="0"/>
        <i val="0"/>
        <strike val="0"/>
        <condense val="0"/>
        <extend val="0"/>
        <outline val="0"/>
        <shadow val="0"/>
        <u val="none"/>
        <vertAlign val="baseline"/>
        <sz val="10"/>
        <color auto="1"/>
        <name val="Calibri"/>
        <scheme val="minor"/>
      </font>
      <numFmt numFmtId="2" formatCode="0.00"/>
      <fill>
        <patternFill patternType="solid">
          <fgColor indexed="64"/>
          <bgColor theme="0" tint="-0.49998474074526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2" formatCode="0.00"/>
      <fill>
        <patternFill patternType="solid">
          <fgColor indexed="64"/>
          <bgColor theme="0" tint="-0.499984740745262"/>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numFmt numFmtId="2" formatCode="0.00"/>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2" formatCode="0.00"/>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scheme val="minor"/>
      </font>
      <alignment wrapText="1" indent="0" justifyLastLine="0" shrinkToFit="0" readingOrder="0"/>
    </dxf>
    <dxf>
      <border outline="0">
        <bottom style="thin">
          <color rgb="FF000000"/>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bottom" textRotation="90" wrapText="1" indent="0" justifyLastLine="0" shrinkToFit="0" readingOrder="0"/>
      <border diagonalUp="0" diagonalDown="0" outline="0">
        <left style="thin">
          <color indexed="64"/>
        </left>
        <right style="thin">
          <color indexed="64"/>
        </right>
        <top/>
        <bottom/>
      </border>
    </dxf>
    <dxf>
      <numFmt numFmtId="15" formatCode="0.00E+00"/>
    </dxf>
    <dxf>
      <numFmt numFmtId="169" formatCode="#,##0.000000"/>
    </dxf>
    <dxf>
      <numFmt numFmtId="170" formatCode="#,##0.00000"/>
    </dxf>
    <dxf>
      <numFmt numFmtId="171" formatCode="#,##0.0000"/>
    </dxf>
    <dxf>
      <numFmt numFmtId="172" formatCode="#,##0.000"/>
    </dxf>
    <dxf>
      <numFmt numFmtId="4" formatCode="#,##0.00"/>
    </dxf>
    <dxf>
      <numFmt numFmtId="173" formatCode="#,##0.0"/>
    </dxf>
    <dxf>
      <numFmt numFmtId="3" formatCode="#,##0"/>
    </dxf>
    <dxf>
      <numFmt numFmtId="171" formatCode="#,##0.0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a:pPr>
            <a:r>
              <a:rPr lang="en-US" sz="2000" b="0"/>
              <a:t>Parameter Uncertainty for</a:t>
            </a:r>
            <a:r>
              <a:rPr lang="en-US" sz="2000" b="0" baseline="0"/>
              <a:t> Baseline Scenarios</a:t>
            </a:r>
            <a:endParaRPr lang="en-US" sz="2000" b="0"/>
          </a:p>
        </c:rich>
      </c:tx>
      <c:layout>
        <c:manualLayout>
          <c:xMode val="edge"/>
          <c:yMode val="edge"/>
          <c:x val="0.30492104280225441"/>
          <c:y val="2.6223860917917747E-2"/>
        </c:manualLayout>
      </c:layout>
      <c:overlay val="1"/>
      <c:spPr>
        <a:solidFill>
          <a:schemeClr val="bg1"/>
        </a:solidFill>
        <a:ln>
          <a:noFill/>
        </a:ln>
      </c:spPr>
    </c:title>
    <c:autoTitleDeleted val="0"/>
    <c:plotArea>
      <c:layout>
        <c:manualLayout>
          <c:layoutTarget val="inner"/>
          <c:xMode val="edge"/>
          <c:yMode val="edge"/>
          <c:x val="0.28891869980223162"/>
          <c:y val="0.13865576584236491"/>
          <c:w val="0.52011325327222757"/>
          <c:h val="0.67615819008026468"/>
        </c:manualLayout>
      </c:layout>
      <c:barChart>
        <c:barDir val="col"/>
        <c:grouping val="clustered"/>
        <c:varyColors val="0"/>
        <c:ser>
          <c:idx val="0"/>
          <c:order val="0"/>
          <c:tx>
            <c:strRef>
              <c:f>Calculations!$CL$5</c:f>
              <c:strCache>
                <c:ptCount val="1"/>
                <c:pt idx="0">
                  <c:v>median</c:v>
                </c:pt>
              </c:strCache>
            </c:strRef>
          </c:tx>
          <c:spPr>
            <a:ln>
              <a:solidFill>
                <a:schemeClr val="tx1"/>
              </a:solidFill>
            </a:ln>
          </c:spPr>
          <c:invertIfNegative val="0"/>
          <c:dPt>
            <c:idx val="0"/>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errBars>
            <c:errBarType val="both"/>
            <c:errValType val="cust"/>
            <c:noEndCap val="0"/>
            <c:plus>
              <c:numRef>
                <c:f>Calculations!$CM$9:$CQ$9</c:f>
                <c:numCache>
                  <c:formatCode>General</c:formatCode>
                  <c:ptCount val="5"/>
                  <c:pt idx="0">
                    <c:v>93.955979586372052</c:v>
                  </c:pt>
                  <c:pt idx="1">
                    <c:v>103.35157754500929</c:v>
                  </c:pt>
                  <c:pt idx="2">
                    <c:v>84.560381627734841</c:v>
                  </c:pt>
                  <c:pt idx="3">
                    <c:v>112.74717550364642</c:v>
                  </c:pt>
                  <c:pt idx="4">
                    <c:v>75.164783669097631</c:v>
                  </c:pt>
                </c:numCache>
              </c:numRef>
            </c:plus>
            <c:minus>
              <c:numRef>
                <c:f>Calculations!$CM$8:$CQ$8</c:f>
                <c:numCache>
                  <c:formatCode>General</c:formatCode>
                  <c:ptCount val="5"/>
                  <c:pt idx="0">
                    <c:v>58.575049043022545</c:v>
                  </c:pt>
                  <c:pt idx="1">
                    <c:v>64.432553947324806</c:v>
                  </c:pt>
                  <c:pt idx="2">
                    <c:v>52.717544138720285</c:v>
                  </c:pt>
                  <c:pt idx="3">
                    <c:v>70.290058851627052</c:v>
                  </c:pt>
                  <c:pt idx="4">
                    <c:v>46.860039234418025</c:v>
                  </c:pt>
                </c:numCache>
              </c:numRef>
            </c:minus>
            <c:spPr>
              <a:ln w="38100">
                <a:solidFill>
                  <a:schemeClr val="tx1"/>
                </a:solidFill>
                <a:headEnd w="lg" len="lg"/>
                <a:tailEnd w="lg" len="lg"/>
              </a:ln>
            </c:spPr>
          </c:errBars>
          <c:cat>
            <c:strRef>
              <c:f>Calculations!$CM$4</c:f>
              <c:strCache>
                <c:ptCount val="1"/>
                <c:pt idx="0">
                  <c:v>Toner Cartridge</c:v>
                </c:pt>
              </c:strCache>
            </c:strRef>
          </c:cat>
          <c:val>
            <c:numRef>
              <c:f>Calculations!$CM$5</c:f>
              <c:numCache>
                <c:formatCode>0.00</c:formatCode>
                <c:ptCount val="1"/>
                <c:pt idx="0">
                  <c:v>155.54921896172252</c:v>
                </c:pt>
              </c:numCache>
            </c:numRef>
          </c:val>
        </c:ser>
        <c:dLbls>
          <c:showLegendKey val="0"/>
          <c:showVal val="0"/>
          <c:showCatName val="0"/>
          <c:showSerName val="0"/>
          <c:showPercent val="0"/>
          <c:showBubbleSize val="0"/>
        </c:dLbls>
        <c:gapWidth val="130"/>
        <c:axId val="227809024"/>
        <c:axId val="89944384"/>
      </c:barChart>
      <c:catAx>
        <c:axId val="227809024"/>
        <c:scaling>
          <c:orientation val="minMax"/>
        </c:scaling>
        <c:delete val="0"/>
        <c:axPos val="b"/>
        <c:numFmt formatCode="General" sourceLinked="1"/>
        <c:majorTickMark val="out"/>
        <c:minorTickMark val="none"/>
        <c:tickLblPos val="nextTo"/>
        <c:txPr>
          <a:bodyPr rot="0" vert="horz"/>
          <a:lstStyle/>
          <a:p>
            <a:pPr>
              <a:defRPr sz="1400"/>
            </a:pPr>
            <a:endParaRPr lang="en-US"/>
          </a:p>
        </c:txPr>
        <c:crossAx val="89944384"/>
        <c:crosses val="autoZero"/>
        <c:auto val="1"/>
        <c:lblAlgn val="ctr"/>
        <c:lblOffset val="100"/>
        <c:noMultiLvlLbl val="0"/>
      </c:catAx>
      <c:valAx>
        <c:axId val="89944384"/>
        <c:scaling>
          <c:orientation val="minMax"/>
          <c:min val="0"/>
        </c:scaling>
        <c:delete val="0"/>
        <c:axPos val="l"/>
        <c:majorGridlines/>
        <c:title>
          <c:tx>
            <c:strRef>
              <c:f>Info!$C$9</c:f>
              <c:strCache>
                <c:ptCount val="1"/>
                <c:pt idx="0">
                  <c:v>Total Life Cycle GHG Inventory (Kg CO2e) per 50,000 Pages Printed</c:v>
                </c:pt>
              </c:strCache>
            </c:strRef>
          </c:tx>
          <c:layout>
            <c:manualLayout>
              <c:xMode val="edge"/>
              <c:yMode val="edge"/>
              <c:x val="0.18926087289553523"/>
              <c:y val="9.2242819089381478E-2"/>
            </c:manualLayout>
          </c:layout>
          <c:overlay val="0"/>
          <c:txPr>
            <a:bodyPr rot="-5400000" vert="horz"/>
            <a:lstStyle/>
            <a:p>
              <a:pPr>
                <a:defRPr sz="1400" b="0"/>
              </a:pPr>
              <a:endParaRPr lang="en-US"/>
            </a:p>
          </c:txPr>
        </c:title>
        <c:numFmt formatCode="0" sourceLinked="0"/>
        <c:majorTickMark val="out"/>
        <c:minorTickMark val="none"/>
        <c:tickLblPos val="nextTo"/>
        <c:txPr>
          <a:bodyPr/>
          <a:lstStyle/>
          <a:p>
            <a:pPr>
              <a:defRPr sz="1600"/>
            </a:pPr>
            <a:endParaRPr lang="en-US"/>
          </a:p>
        </c:txPr>
        <c:crossAx val="227809024"/>
        <c:crosses val="autoZero"/>
        <c:crossBetween val="between"/>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a:pPr>
            <a:r>
              <a:rPr lang="en-US" sz="2000" b="0"/>
              <a:t>Scenario Analysis </a:t>
            </a:r>
          </a:p>
        </c:rich>
      </c:tx>
      <c:layout>
        <c:manualLayout>
          <c:xMode val="edge"/>
          <c:yMode val="edge"/>
          <c:x val="0.42493888759108395"/>
          <c:y val="8.0688802824362311E-3"/>
        </c:manualLayout>
      </c:layout>
      <c:overlay val="1"/>
      <c:spPr>
        <a:solidFill>
          <a:sysClr val="window" lastClr="FFFFFF"/>
        </a:solidFill>
        <a:ln>
          <a:noFill/>
        </a:ln>
      </c:spPr>
    </c:title>
    <c:autoTitleDeleted val="0"/>
    <c:plotArea>
      <c:layout>
        <c:manualLayout>
          <c:layoutTarget val="inner"/>
          <c:xMode val="edge"/>
          <c:yMode val="edge"/>
          <c:x val="0.13362040501585618"/>
          <c:y val="8.2173603865311223E-2"/>
          <c:w val="0.86000230723761539"/>
          <c:h val="0.64388266895051982"/>
        </c:manualLayout>
      </c:layout>
      <c:barChart>
        <c:barDir val="col"/>
        <c:grouping val="clustered"/>
        <c:varyColors val="0"/>
        <c:ser>
          <c:idx val="0"/>
          <c:order val="0"/>
          <c:tx>
            <c:strRef>
              <c:f>Calculations!$CL$5</c:f>
              <c:strCache>
                <c:ptCount val="1"/>
                <c:pt idx="0">
                  <c:v>median</c:v>
                </c:pt>
              </c:strCache>
            </c:strRef>
          </c:tx>
          <c:spPr>
            <a:ln>
              <a:solidFill>
                <a:schemeClr val="tx1"/>
              </a:solidFill>
            </a:ln>
          </c:spPr>
          <c:invertIfNegative val="0"/>
          <c:dPt>
            <c:idx val="0"/>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1"/>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2"/>
            <c:invertIfNegative val="0"/>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3"/>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4"/>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cat>
            <c:strRef>
              <c:f>Calculations!$CM$4:$CQ$4</c:f>
              <c:strCache>
                <c:ptCount val="5"/>
                <c:pt idx="0">
                  <c:v>Toner Cartridge</c:v>
                </c:pt>
                <c:pt idx="1">
                  <c:v>Scenario 1</c:v>
                </c:pt>
                <c:pt idx="2">
                  <c:v>Scenario 2</c:v>
                </c:pt>
                <c:pt idx="3">
                  <c:v>Scenario 3</c:v>
                </c:pt>
                <c:pt idx="4">
                  <c:v>Scenario 4</c:v>
                </c:pt>
              </c:strCache>
            </c:strRef>
          </c:cat>
          <c:val>
            <c:numRef>
              <c:f>Calculations!$CM$5:$CQ$5</c:f>
              <c:numCache>
                <c:formatCode>0.00</c:formatCode>
                <c:ptCount val="5"/>
                <c:pt idx="0">
                  <c:v>155.54921896172252</c:v>
                </c:pt>
                <c:pt idx="1">
                  <c:v>171.10414085789481</c:v>
                </c:pt>
                <c:pt idx="2">
                  <c:v>139.99429706555026</c:v>
                </c:pt>
                <c:pt idx="3">
                  <c:v>186.65906275406701</c:v>
                </c:pt>
                <c:pt idx="4">
                  <c:v>124.439375169378</c:v>
                </c:pt>
              </c:numCache>
            </c:numRef>
          </c:val>
        </c:ser>
        <c:dLbls>
          <c:showLegendKey val="0"/>
          <c:showVal val="0"/>
          <c:showCatName val="0"/>
          <c:showSerName val="0"/>
          <c:showPercent val="0"/>
          <c:showBubbleSize val="0"/>
        </c:dLbls>
        <c:gapWidth val="70"/>
        <c:axId val="89945952"/>
        <c:axId val="89947912"/>
      </c:barChart>
      <c:catAx>
        <c:axId val="89945952"/>
        <c:scaling>
          <c:orientation val="minMax"/>
        </c:scaling>
        <c:delete val="0"/>
        <c:axPos val="b"/>
        <c:numFmt formatCode="General" sourceLinked="0"/>
        <c:majorTickMark val="out"/>
        <c:minorTickMark val="none"/>
        <c:tickLblPos val="nextTo"/>
        <c:txPr>
          <a:bodyPr rot="-2700000" vert="horz"/>
          <a:lstStyle/>
          <a:p>
            <a:pPr>
              <a:defRPr sz="1400"/>
            </a:pPr>
            <a:endParaRPr lang="en-US"/>
          </a:p>
        </c:txPr>
        <c:crossAx val="89947912"/>
        <c:crosses val="autoZero"/>
        <c:auto val="1"/>
        <c:lblAlgn val="ctr"/>
        <c:lblOffset val="100"/>
        <c:noMultiLvlLbl val="0"/>
      </c:catAx>
      <c:valAx>
        <c:axId val="89947912"/>
        <c:scaling>
          <c:orientation val="minMax"/>
        </c:scaling>
        <c:delete val="0"/>
        <c:axPos val="l"/>
        <c:majorGridlines/>
        <c:title>
          <c:tx>
            <c:strRef>
              <c:f>Info!$C$9</c:f>
              <c:strCache>
                <c:ptCount val="1"/>
                <c:pt idx="0">
                  <c:v>Total Life Cycle GHG Inventory (Kg CO2e) per 50,000 Pages Printed</c:v>
                </c:pt>
              </c:strCache>
            </c:strRef>
          </c:tx>
          <c:layout>
            <c:manualLayout>
              <c:xMode val="edge"/>
              <c:yMode val="edge"/>
              <c:x val="2.810946079211547E-2"/>
              <c:y val="8.6208044006529441E-2"/>
            </c:manualLayout>
          </c:layout>
          <c:overlay val="0"/>
          <c:txPr>
            <a:bodyPr rot="-5400000" vert="horz"/>
            <a:lstStyle/>
            <a:p>
              <a:pPr>
                <a:defRPr sz="1400" b="0"/>
              </a:pPr>
              <a:endParaRPr lang="en-US"/>
            </a:p>
          </c:txPr>
        </c:title>
        <c:numFmt formatCode="0" sourceLinked="0"/>
        <c:majorTickMark val="out"/>
        <c:minorTickMark val="none"/>
        <c:tickLblPos val="nextTo"/>
        <c:txPr>
          <a:bodyPr/>
          <a:lstStyle/>
          <a:p>
            <a:pPr>
              <a:defRPr sz="1600"/>
            </a:pPr>
            <a:endParaRPr lang="en-US"/>
          </a:p>
        </c:txPr>
        <c:crossAx val="89945952"/>
        <c:crosses val="autoZero"/>
        <c:crossBetween val="between"/>
      </c:valAx>
    </c:plotArea>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a:pPr>
            <a:r>
              <a:rPr lang="en-US" sz="2000" b="0"/>
              <a:t>Scenario Analysis with Parameter Uncertainty</a:t>
            </a:r>
          </a:p>
        </c:rich>
      </c:tx>
      <c:layout>
        <c:manualLayout>
          <c:xMode val="edge"/>
          <c:yMode val="edge"/>
          <c:x val="0.24930301716840642"/>
          <c:y val="2.4206640847308673E-2"/>
        </c:manualLayout>
      </c:layout>
      <c:overlay val="1"/>
      <c:spPr>
        <a:solidFill>
          <a:sysClr val="window" lastClr="FFFFFF"/>
        </a:solidFill>
        <a:ln>
          <a:noFill/>
        </a:ln>
      </c:spPr>
    </c:title>
    <c:autoTitleDeleted val="0"/>
    <c:plotArea>
      <c:layout>
        <c:manualLayout>
          <c:layoutTarget val="inner"/>
          <c:xMode val="edge"/>
          <c:yMode val="edge"/>
          <c:x val="0.12776587600176695"/>
          <c:y val="0.11444912499505618"/>
          <c:w val="0.86000230723761539"/>
          <c:h val="0.67615819008026468"/>
        </c:manualLayout>
      </c:layout>
      <c:barChart>
        <c:barDir val="col"/>
        <c:grouping val="clustered"/>
        <c:varyColors val="0"/>
        <c:ser>
          <c:idx val="0"/>
          <c:order val="0"/>
          <c:tx>
            <c:strRef>
              <c:f>Calculations!$CL$5</c:f>
              <c:strCache>
                <c:ptCount val="1"/>
                <c:pt idx="0">
                  <c:v>median</c:v>
                </c:pt>
              </c:strCache>
            </c:strRef>
          </c:tx>
          <c:spPr>
            <a:ln>
              <a:solidFill>
                <a:schemeClr val="tx1"/>
              </a:solidFill>
            </a:ln>
          </c:spPr>
          <c:invertIfNegative val="0"/>
          <c:dPt>
            <c:idx val="0"/>
            <c:invertIfNegative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1"/>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2"/>
            <c:invertIfNegative val="0"/>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3"/>
            <c:invertIfNegative val="0"/>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dPt>
            <c:idx val="4"/>
            <c:invertIfNegative val="0"/>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tx1"/>
                </a:solidFill>
                <a:prstDash val="solid"/>
              </a:ln>
              <a:effectLst>
                <a:outerShdw blurRad="40000" dist="23000" dir="5400000" rotWithShape="0">
                  <a:srgbClr val="000000">
                    <a:alpha val="35000"/>
                  </a:srgbClr>
                </a:outerShdw>
              </a:effectLst>
            </c:spPr>
          </c:dPt>
          <c:errBars>
            <c:errBarType val="both"/>
            <c:errValType val="cust"/>
            <c:noEndCap val="0"/>
            <c:plus>
              <c:numRef>
                <c:f>Calculations!$CM$9:$CQ$9</c:f>
                <c:numCache>
                  <c:formatCode>General</c:formatCode>
                  <c:ptCount val="5"/>
                  <c:pt idx="0">
                    <c:v>93.955979586372052</c:v>
                  </c:pt>
                  <c:pt idx="1">
                    <c:v>103.35157754500929</c:v>
                  </c:pt>
                  <c:pt idx="2">
                    <c:v>84.560381627734841</c:v>
                  </c:pt>
                  <c:pt idx="3">
                    <c:v>112.74717550364642</c:v>
                  </c:pt>
                  <c:pt idx="4">
                    <c:v>75.164783669097631</c:v>
                  </c:pt>
                </c:numCache>
              </c:numRef>
            </c:plus>
            <c:minus>
              <c:numRef>
                <c:f>Calculations!$CM$8:$CQ$8</c:f>
                <c:numCache>
                  <c:formatCode>General</c:formatCode>
                  <c:ptCount val="5"/>
                  <c:pt idx="0">
                    <c:v>58.575049043022545</c:v>
                  </c:pt>
                  <c:pt idx="1">
                    <c:v>64.432553947324806</c:v>
                  </c:pt>
                  <c:pt idx="2">
                    <c:v>52.717544138720285</c:v>
                  </c:pt>
                  <c:pt idx="3">
                    <c:v>70.290058851627052</c:v>
                  </c:pt>
                  <c:pt idx="4">
                    <c:v>46.860039234418025</c:v>
                  </c:pt>
                </c:numCache>
              </c:numRef>
            </c:minus>
            <c:spPr>
              <a:ln w="38100">
                <a:solidFill>
                  <a:schemeClr val="tx1"/>
                </a:solidFill>
              </a:ln>
            </c:spPr>
          </c:errBars>
          <c:cat>
            <c:strRef>
              <c:f>Calculations!$CM$4:$CQ$4</c:f>
              <c:strCache>
                <c:ptCount val="5"/>
                <c:pt idx="0">
                  <c:v>Toner Cartridge</c:v>
                </c:pt>
                <c:pt idx="1">
                  <c:v>Scenario 1</c:v>
                </c:pt>
                <c:pt idx="2">
                  <c:v>Scenario 2</c:v>
                </c:pt>
                <c:pt idx="3">
                  <c:v>Scenario 3</c:v>
                </c:pt>
                <c:pt idx="4">
                  <c:v>Scenario 4</c:v>
                </c:pt>
              </c:strCache>
            </c:strRef>
          </c:cat>
          <c:val>
            <c:numRef>
              <c:f>Calculations!$CM$5:$CQ$5</c:f>
              <c:numCache>
                <c:formatCode>0.00</c:formatCode>
                <c:ptCount val="5"/>
                <c:pt idx="0">
                  <c:v>155.54921896172252</c:v>
                </c:pt>
                <c:pt idx="1">
                  <c:v>171.10414085789481</c:v>
                </c:pt>
                <c:pt idx="2">
                  <c:v>139.99429706555026</c:v>
                </c:pt>
                <c:pt idx="3">
                  <c:v>186.65906275406701</c:v>
                </c:pt>
                <c:pt idx="4">
                  <c:v>124.439375169378</c:v>
                </c:pt>
              </c:numCache>
            </c:numRef>
          </c:val>
        </c:ser>
        <c:dLbls>
          <c:showLegendKey val="0"/>
          <c:showVal val="0"/>
          <c:showCatName val="0"/>
          <c:showSerName val="0"/>
          <c:showPercent val="0"/>
          <c:showBubbleSize val="0"/>
        </c:dLbls>
        <c:gapWidth val="70"/>
        <c:axId val="89947128"/>
        <c:axId val="224314800"/>
      </c:barChart>
      <c:catAx>
        <c:axId val="89947128"/>
        <c:scaling>
          <c:orientation val="minMax"/>
        </c:scaling>
        <c:delete val="0"/>
        <c:axPos val="b"/>
        <c:numFmt formatCode="General" sourceLinked="0"/>
        <c:majorTickMark val="out"/>
        <c:minorTickMark val="none"/>
        <c:tickLblPos val="nextTo"/>
        <c:txPr>
          <a:bodyPr rot="-2700000" vert="horz"/>
          <a:lstStyle/>
          <a:p>
            <a:pPr>
              <a:defRPr sz="1400"/>
            </a:pPr>
            <a:endParaRPr lang="en-US"/>
          </a:p>
        </c:txPr>
        <c:crossAx val="224314800"/>
        <c:crosses val="autoZero"/>
        <c:auto val="1"/>
        <c:lblAlgn val="ctr"/>
        <c:lblOffset val="100"/>
        <c:noMultiLvlLbl val="0"/>
      </c:catAx>
      <c:valAx>
        <c:axId val="224314800"/>
        <c:scaling>
          <c:orientation val="minMax"/>
        </c:scaling>
        <c:delete val="0"/>
        <c:axPos val="l"/>
        <c:majorGridlines/>
        <c:title>
          <c:tx>
            <c:strRef>
              <c:f>Info!$C$9</c:f>
              <c:strCache>
                <c:ptCount val="1"/>
                <c:pt idx="0">
                  <c:v>Total Life Cycle GHG Inventory (Kg CO2e) per 50,000 Pages Printed</c:v>
                </c:pt>
              </c:strCache>
            </c:strRef>
          </c:tx>
          <c:layout>
            <c:manualLayout>
              <c:xMode val="edge"/>
              <c:yMode val="edge"/>
              <c:x val="2.810946079211547E-2"/>
              <c:y val="0.12856966548931961"/>
            </c:manualLayout>
          </c:layout>
          <c:overlay val="0"/>
          <c:txPr>
            <a:bodyPr rot="-5400000" vert="horz"/>
            <a:lstStyle/>
            <a:p>
              <a:pPr>
                <a:defRPr sz="1400" b="0"/>
              </a:pPr>
              <a:endParaRPr lang="en-US"/>
            </a:p>
          </c:txPr>
        </c:title>
        <c:numFmt formatCode="0" sourceLinked="0"/>
        <c:majorTickMark val="out"/>
        <c:minorTickMark val="none"/>
        <c:tickLblPos val="nextTo"/>
        <c:txPr>
          <a:bodyPr/>
          <a:lstStyle/>
          <a:p>
            <a:pPr>
              <a:defRPr sz="1600"/>
            </a:pPr>
            <a:endParaRPr lang="en-US"/>
          </a:p>
        </c:txPr>
        <c:crossAx val="89947128"/>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tabColor rgb="FFFF0000"/>
  </sheetPr>
  <sheetViews>
    <sheetView zoomScale="12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FF0000"/>
  </sheetPr>
  <sheetViews>
    <sheetView zoomScale="117"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FF0000"/>
  </sheetPr>
  <sheetViews>
    <sheetView zoomScale="12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133350</xdr:rowOff>
    </xdr:from>
    <xdr:to>
      <xdr:col>9</xdr:col>
      <xdr:colOff>57150</xdr:colOff>
      <xdr:row>70</xdr:row>
      <xdr:rowOff>45982</xdr:rowOff>
    </xdr:to>
    <xdr:sp macro="" textlink="">
      <xdr:nvSpPr>
        <xdr:cNvPr id="2" name="Rounded Rectangle 1"/>
        <xdr:cNvSpPr/>
      </xdr:nvSpPr>
      <xdr:spPr bwMode="auto">
        <a:xfrm>
          <a:off x="152400" y="133350"/>
          <a:ext cx="5267325" cy="11247382"/>
        </a:xfrm>
        <a:prstGeom prst="roundRect">
          <a:avLst>
            <a:gd name="adj" fmla="val 3829"/>
          </a:avLst>
        </a:prstGeom>
        <a:noFill/>
        <a:ln w="127000" cap="flat" cmpd="sng" algn="ctr">
          <a:solidFill>
            <a:schemeClr val="accent3">
              <a:lumMod val="75000"/>
            </a:schemeClr>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editAs="oneCell">
    <xdr:from>
      <xdr:col>4</xdr:col>
      <xdr:colOff>216777</xdr:colOff>
      <xdr:row>17</xdr:row>
      <xdr:rowOff>57290</xdr:rowOff>
    </xdr:from>
    <xdr:to>
      <xdr:col>7</xdr:col>
      <xdr:colOff>249621</xdr:colOff>
      <xdr:row>21</xdr:row>
      <xdr:rowOff>121392</xdr:rowOff>
    </xdr:to>
    <xdr:pic>
      <xdr:nvPicPr>
        <xdr:cNvPr id="3" name="Picture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286001" y="2849100"/>
          <a:ext cx="1865586" cy="720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4</xdr:col>
      <xdr:colOff>219075</xdr:colOff>
      <xdr:row>0</xdr:row>
      <xdr:rowOff>381000</xdr:rowOff>
    </xdr:to>
    <xdr:sp macro="" textlink="">
      <xdr:nvSpPr>
        <xdr:cNvPr id="2" name="Rectangle 1"/>
        <xdr:cNvSpPr/>
      </xdr:nvSpPr>
      <xdr:spPr bwMode="auto">
        <a:xfrm>
          <a:off x="9525" y="0"/>
          <a:ext cx="7343775" cy="381000"/>
        </a:xfrm>
        <a:prstGeom prst="rect">
          <a:avLst/>
        </a:prstGeom>
        <a:ln>
          <a:noFill/>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horzOverflow="clip" wrap="square" lIns="18288" tIns="0" rIns="0" bIns="0" rtlCol="0" anchor="t" upright="1"/>
        <a:lstStyle/>
        <a:p>
          <a:pPr algn="ctr"/>
          <a:r>
            <a:rPr lang="en-US" sz="2400"/>
            <a:t>Sources of Methodological Uncertainty</a:t>
          </a:r>
        </a:p>
      </xdr:txBody>
    </xdr:sp>
    <xdr:clientData/>
  </xdr:twoCellAnchor>
  <xdr:twoCellAnchor>
    <xdr:from>
      <xdr:col>0</xdr:col>
      <xdr:colOff>19050</xdr:colOff>
      <xdr:row>28</xdr:row>
      <xdr:rowOff>85725</xdr:rowOff>
    </xdr:from>
    <xdr:to>
      <xdr:col>4</xdr:col>
      <xdr:colOff>228600</xdr:colOff>
      <xdr:row>30</xdr:row>
      <xdr:rowOff>142875</xdr:rowOff>
    </xdr:to>
    <xdr:sp macro="" textlink="">
      <xdr:nvSpPr>
        <xdr:cNvPr id="3" name="Rectangle 2"/>
        <xdr:cNvSpPr/>
      </xdr:nvSpPr>
      <xdr:spPr bwMode="auto">
        <a:xfrm>
          <a:off x="19050" y="4857750"/>
          <a:ext cx="7343775" cy="381000"/>
        </a:xfrm>
        <a:prstGeom prst="rect">
          <a:avLst/>
        </a:prstGeom>
        <a:ln>
          <a:noFill/>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horzOverflow="clip" wrap="square" lIns="18288" tIns="0" rIns="0" bIns="0" rtlCol="0" anchor="t" upright="1"/>
        <a:lstStyle/>
        <a:p>
          <a:pPr algn="ctr"/>
          <a:r>
            <a:rPr lang="en-US" sz="2400"/>
            <a:t>Sources of Situational Uncertainty</a:t>
          </a:r>
        </a:p>
      </xdr:txBody>
    </xdr:sp>
    <xdr:clientData/>
  </xdr:twoCellAnchor>
  <xdr:twoCellAnchor>
    <xdr:from>
      <xdr:col>0</xdr:col>
      <xdr:colOff>0</xdr:colOff>
      <xdr:row>46</xdr:row>
      <xdr:rowOff>66675</xdr:rowOff>
    </xdr:from>
    <xdr:to>
      <xdr:col>4</xdr:col>
      <xdr:colOff>209550</xdr:colOff>
      <xdr:row>48</xdr:row>
      <xdr:rowOff>123825</xdr:rowOff>
    </xdr:to>
    <xdr:sp macro="" textlink="">
      <xdr:nvSpPr>
        <xdr:cNvPr id="4" name="Rectangle 3"/>
        <xdr:cNvSpPr/>
      </xdr:nvSpPr>
      <xdr:spPr bwMode="auto">
        <a:xfrm>
          <a:off x="0" y="7753350"/>
          <a:ext cx="7343775" cy="381000"/>
        </a:xfrm>
        <a:prstGeom prst="rect">
          <a:avLst/>
        </a:prstGeom>
        <a:ln>
          <a:noFill/>
          <a:headEnd type="none" w="med" len="med"/>
          <a:tailEnd type="none" w="med" len="med"/>
        </a:ln>
      </xdr:spPr>
      <xdr:style>
        <a:lnRef idx="1">
          <a:schemeClr val="accent3"/>
        </a:lnRef>
        <a:fillRef idx="2">
          <a:schemeClr val="accent3"/>
        </a:fillRef>
        <a:effectRef idx="1">
          <a:schemeClr val="accent3"/>
        </a:effectRef>
        <a:fontRef idx="minor">
          <a:schemeClr val="dk1"/>
        </a:fontRef>
      </xdr:style>
      <xdr:txBody>
        <a:bodyPr vertOverflow="clip" horzOverflow="clip" wrap="square" lIns="18288" tIns="0" rIns="0" bIns="0" rtlCol="0" anchor="t" upright="1"/>
        <a:lstStyle/>
        <a:p>
          <a:pPr algn="ctr"/>
          <a:r>
            <a:rPr lang="en-US" sz="2400"/>
            <a:t>Other Uncertainty Notes</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2051" cy="629301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id="2" name="Table13" displayName="Table13" ref="A4:CD19" totalsRowShown="0" headerRowDxfId="86" dataDxfId="84" headerRowBorderDxfId="85" tableBorderDxfId="83" totalsRowBorderDxfId="82">
  <autoFilter ref="A4:CD19"/>
  <tableColumns count="82">
    <tableColumn id="1" name="Inventory Category Name" dataDxfId="81"/>
    <tableColumn id="2" name="Dataset Name" dataDxfId="80"/>
    <tableColumn id="3" name="Emission Factor Data Source" dataDxfId="79"/>
    <tableColumn id="4" name="Emission Factor Geographic Relevance" dataDxfId="78"/>
    <tableColumn id="5" name="Emission Factor Temporal Relevance" dataDxfId="77"/>
    <tableColumn id="6" name="Unit" dataDxfId="76"/>
    <tableColumn id="7" name="Technology Type" dataDxfId="75"/>
    <tableColumn id="8" name="CO2 emission factor" dataDxfId="74"/>
    <tableColumn id="9" name="Methane emission factor" dataDxfId="73"/>
    <tableColumn id="10" name="N2O emission factor" dataDxfId="72"/>
    <tableColumn id="11" name="HFC emission factor" dataDxfId="71"/>
    <tableColumn id="12" name="PCF emission factor" dataDxfId="70"/>
    <tableColumn id="13" name="SF6 emission factor" dataDxfId="69"/>
    <tableColumn id="14" name="Unclassified gasses emission factor" dataDxfId="68"/>
    <tableColumn id="17" name="% GWP from other gases" dataDxfId="67">
      <calculatedColumnFormula>(SUM(Table13[[#This Row],[Methane emission factor]:[Unclassified gasses emission factor]]))/Table13[[#This Row],[GWP per unit]]</calculatedColumnFormula>
    </tableColumn>
    <tableColumn id="15" name="GWP per unit" dataDxfId="66">
      <calculatedColumnFormula>SUM(Table13[[#This Row],[CO2 emission factor]:[Unclassified gasses emission factor]])</calculatedColumnFormula>
    </tableColumn>
    <tableColumn id="18" name="Baseline Activity" dataDxfId="65"/>
    <tableColumn id="81" name="Activity Data Source" dataDxfId="64"/>
    <tableColumn id="79" name="Activity Data Temporal Relevance" dataDxfId="63"/>
    <tableColumn id="80" name="Activity Data Geographic Relevance" dataDxfId="62"/>
    <tableColumn id="19" name="Scenario 2 Activity" dataDxfId="61"/>
    <tableColumn id="20" name="Scenario 3 Activity" dataDxfId="60"/>
    <tableColumn id="21" name="Scenario 4 Activity" dataDxfId="59"/>
    <tableColumn id="56" name="Scenario 5 Activity" dataDxfId="58"/>
    <tableColumn id="22" name="Baseline GHG Total" dataDxfId="57">
      <calculatedColumnFormula>IFERROR(Table13[[#This Row],[Baseline Activity]]*Table13[[#This Row],[GWP per unit]],0)</calculatedColumnFormula>
    </tableColumn>
    <tableColumn id="23" name="Scenario 2 GHG Total" dataDxfId="56">
      <calculatedColumnFormula>IFERROR(Table13[[#This Row],[Scenario 2 Activity]]*Table13[[#This Row],[GWP per unit]],0)</calculatedColumnFormula>
    </tableColumn>
    <tableColumn id="24" name="Scenario 3 GHG Total" dataDxfId="55">
      <calculatedColumnFormula>IFERROR(Table13[[#This Row],[Scenario 3 Activity]]*Table13[[#This Row],[GWP per unit]],0)</calculatedColumnFormula>
    </tableColumn>
    <tableColumn id="25" name="Scenario 4 GHG Total" dataDxfId="54">
      <calculatedColumnFormula>IFERROR(Table13[[#This Row],[Scenario 4 Activity]]*Table13[[#This Row],[GWP per unit]],0)</calculatedColumnFormula>
    </tableColumn>
    <tableColumn id="57" name="Scenario 5 GHG Total" dataDxfId="53">
      <calculatedColumnFormula>IFERROR(Table13[[#This Row],[Scenario 5 Activity]]*Table13[[#This Row],[GWP per unit]],0)</calculatedColumnFormula>
    </tableColumn>
    <tableColumn id="26" name="Percent contribution to Baseline inventory" dataDxfId="52" dataCellStyle="Percent">
      <calculatedColumnFormula>IF(Table13[Baseline GHG Total]="",0,Table13[Baseline GHG Total]/SUM(Table13[Baseline GHG Total]:Table13[Baseline GHG Total]))</calculatedColumnFormula>
    </tableColumn>
    <tableColumn id="27" name="Percent contribution to Scenario 2 inventory" dataDxfId="51" dataCellStyle="Percent">
      <calculatedColumnFormula>IF(Table13[Scenario 2 GHG Total]="",0,Table13[Scenario 2 GHG Total]/SUM(Table13[Scenario 2 GHG Total]:Table13[Scenario 2 GHG Total]))</calculatedColumnFormula>
    </tableColumn>
    <tableColumn id="28" name="Percent contribution to Scenario 3 inventory" dataDxfId="50" dataCellStyle="Percent">
      <calculatedColumnFormula>IF(Table13[Scenario 3 GHG Total]="",0,Table13[Scenario 3 GHG Total]/SUM(Table13[Scenario 3 GHG Total]:Table13[Scenario 3 GHG Total]))</calculatedColumnFormula>
    </tableColumn>
    <tableColumn id="29" name="Percent contribution to Scenario 4 inventory" dataDxfId="49" dataCellStyle="Percent">
      <calculatedColumnFormula>IF(Table13[Scenario 4 GHG Total]="",0,Table13[Scenario 4 GHG Total]/SUM(Table13[Scenario 4 GHG Total]:Table13[Scenario 4 GHG Total]))</calculatedColumnFormula>
    </tableColumn>
    <tableColumn id="58" name="Percent contribution to Scenario 5 inventory" dataDxfId="48" dataCellStyle="Percent">
      <calculatedColumnFormula>IF(Table13[Scenario 5 GHG Total]="",0,Table13[Scenario 5 GHG Total]/SUM(Table13[Scenario 5 GHG Total]:Table13[Scenario 5 GHG Total]))</calculatedColumnFormula>
    </tableColumn>
    <tableColumn id="30" name="Activity Data Reliability" dataDxfId="47">
      <calculatedColumnFormula>Info!$B$13</calculatedColumnFormula>
    </tableColumn>
    <tableColumn id="31" name="Activity Data Completeness" dataDxfId="46">
      <calculatedColumnFormula>Info!$B$14</calculatedColumnFormula>
    </tableColumn>
    <tableColumn id="32" name="Activity Data Temporal Representativeness" dataDxfId="45">
      <calculatedColumnFormula>Info!$B$15</calculatedColumnFormula>
    </tableColumn>
    <tableColumn id="33" name="Activity Data Geographic Representativeness" dataDxfId="44">
      <calculatedColumnFormula>Info!$B$16</calculatedColumnFormula>
    </tableColumn>
    <tableColumn id="34" name="Activity Data Technological Representativeness" dataDxfId="43">
      <calculatedColumnFormula>Info!$B$17</calculatedColumnFormula>
    </tableColumn>
    <tableColumn id="36" name="Activity Data Base Uncertainty" dataDxfId="42">
      <calculatedColumnFormula>VLOOKUP($G5,Info!$A$40:$C$48,3,FALSE)</calculatedColumnFormula>
    </tableColumn>
    <tableColumn id="37" name="Activity Data Reliability Factor" dataDxfId="41">
      <calculatedColumnFormula>HLOOKUP(Calculations!AI5,Info!$C$31:$F$36,2,FALSE)</calculatedColumnFormula>
    </tableColumn>
    <tableColumn id="38" name="Activity Data Completeness Factor" dataDxfId="40">
      <calculatedColumnFormula>HLOOKUP(Calculations!AJ5,Info!$C$31:$F$36,3,FALSE)</calculatedColumnFormula>
    </tableColumn>
    <tableColumn id="39" name="Activity Data Temporal Representativeness Factor" dataDxfId="39">
      <calculatedColumnFormula>HLOOKUP(Calculations!AK5,Info!$C$31:$F$36,4,FALSE)</calculatedColumnFormula>
    </tableColumn>
    <tableColumn id="40" name="Activity Data Geographic Representativeness Factor" dataDxfId="38">
      <calculatedColumnFormula>HLOOKUP(Calculations!AL5,Info!$C$31:$F$36,5,FALSE)</calculatedColumnFormula>
    </tableColumn>
    <tableColumn id="41" name="Activity Data Technological Representativeness Factor" dataDxfId="37">
      <calculatedColumnFormula>HLOOKUP(Calculations!AM5,Info!$C$31:$F$36,6,FALSE)</calculatedColumnFormula>
    </tableColumn>
    <tableColumn id="43" name="Emission Factor Data Reliability" dataDxfId="36">
      <calculatedColumnFormula>Info!$B$20</calculatedColumnFormula>
    </tableColumn>
    <tableColumn id="44" name="Emission Factor Data Completeness" dataDxfId="35">
      <calculatedColumnFormula>Info!$B$21</calculatedColumnFormula>
    </tableColumn>
    <tableColumn id="45" name="Emission Factor Data Temporal Representativeness" dataDxfId="34">
      <calculatedColumnFormula>Info!$B$22</calculatedColumnFormula>
    </tableColumn>
    <tableColumn id="46" name="Emission Factor Data Geographic Representativeness" dataDxfId="33">
      <calculatedColumnFormula>Info!$B$23</calculatedColumnFormula>
    </tableColumn>
    <tableColumn id="47" name="Emission Factor Data Technological Representativeness" dataDxfId="32">
      <calculatedColumnFormula>Info!$B$24</calculatedColumnFormula>
    </tableColumn>
    <tableColumn id="48" name="Emission Factor Data Base Uncertainty Factor" dataDxfId="31">
      <calculatedColumnFormula>VLOOKUP($G5,Info!$A$40:$C$48,3,FALSE)</calculatedColumnFormula>
    </tableColumn>
    <tableColumn id="50" name="Emission Factor Data Reliability Factor" dataDxfId="30">
      <calculatedColumnFormula>HLOOKUP(Calculations!AT5,Info!$C$31:$F$36,2,FALSE)</calculatedColumnFormula>
    </tableColumn>
    <tableColumn id="51" name="Emission Factor Data Completeness Factor" dataDxfId="29">
      <calculatedColumnFormula>HLOOKUP(Calculations!AU5,Info!$C$31:$F$36,3,FALSE)</calculatedColumnFormula>
    </tableColumn>
    <tableColumn id="52" name="Emission Factor Data Temporal Representativeness Factor" dataDxfId="28">
      <calculatedColumnFormula>HLOOKUP(Calculations!AV5,Info!$C$31:$F$36,4,FALSE)</calculatedColumnFormula>
    </tableColumn>
    <tableColumn id="53" name="Emission Factor Data Geographic Representativeness Factor" dataDxfId="27">
      <calculatedColumnFormula>HLOOKUP(Calculations!AW5,Info!$C$31:$F$36,5,FALSE)</calculatedColumnFormula>
    </tableColumn>
    <tableColumn id="54" name="Emission Factor Data Technological Representativeness Factor" dataDxfId="26">
      <calculatedColumnFormula>HLOOKUP(Calculations!AX5,Info!$C$31:$F$36,6,FALSE)</calculatedColumnFormula>
    </tableColumn>
    <tableColumn id="16" name="Activity Data GSD2" dataDxfId="25">
      <calculatedColumnFormula>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calculatedColumnFormula>
    </tableColumn>
    <tableColumn id="35" name="Activity Data GSD" dataDxfId="24">
      <calculatedColumnFormula>BE5^0.5</calculatedColumnFormula>
    </tableColumn>
    <tableColumn id="42" name="Emission Factor GSD2" dataDxfId="23">
      <calculatedColumnFormula>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calculatedColumnFormula>
    </tableColumn>
    <tableColumn id="49" name="Emission Factor GSD" dataDxfId="22">
      <calculatedColumnFormula>BG5^0.5</calculatedColumnFormula>
    </tableColumn>
    <tableColumn id="55" name="GWP GSD2" dataDxfId="21">
      <calculatedColumnFormula>EXP(((Table13[[#This Row],[% GWP from other gases]]^2)*(LN(Info!$B$27))^2)^0.5)</calculatedColumnFormula>
    </tableColumn>
    <tableColumn id="82" name="GWP GSD" dataDxfId="20">
      <calculatedColumnFormula>Table13[[#This Row],[GWP GSD2]]^0.5</calculatedColumnFormula>
    </tableColumn>
    <tableColumn id="59" name="Baseline Emission Factor Uncertainty Component" dataDxfId="19">
      <calculatedColumnFormula>(Table13[[#This Row],[Percent contribution to Baseline inventory]]^2)*((LN(Table13[[#This Row],[Emission Factor GSD]]))^2)</calculatedColumnFormula>
    </tableColumn>
    <tableColumn id="60" name="Baseline Activity Uncertainty Component" dataDxfId="18">
      <calculatedColumnFormula>(Table13[[#This Row],[Percent contribution to Baseline inventory]]^2)*((LN(Table13[[#This Row],[Activity Data GSD]]))^2)</calculatedColumnFormula>
    </tableColumn>
    <tableColumn id="74" name="Baseline GWP Uncertainty Component" dataDxfId="17">
      <calculatedColumnFormula>(Table13[[#This Row],[Percent contribution to Baseline inventory]]^2)*((LN(Table13[[#This Row],[GWP GSD]]))^2)</calculatedColumnFormula>
    </tableColumn>
    <tableColumn id="61" name="Contribution to Total Baseline Uncertainty" dataDxfId="16">
      <calculatedColumnFormula>SUM(Table13[[#This Row],[Baseline Emission Factor Uncertainty Component]:[Baseline GWP Uncertainty Component]])</calculatedColumnFormula>
    </tableColumn>
    <tableColumn id="62" name="Scenario 2 Emission Factor Uncertainty Component" dataDxfId="15">
      <calculatedColumnFormula>(Table13[[#This Row],[Percent contribution to Scenario 2 inventory]]^2)*((LN(Table13[[#This Row],[Emission Factor GSD]]))^2)</calculatedColumnFormula>
    </tableColumn>
    <tableColumn id="63" name="Scenario 2 Activity Uncertainty Component" dataDxfId="14">
      <calculatedColumnFormula>(Table13[[#This Row],[Percent contribution to Scenario 2 inventory]]^2)*((LN(Table13[[#This Row],[Activity Data GSD]]))^2)</calculatedColumnFormula>
    </tableColumn>
    <tableColumn id="75" name="Scenario 2 GWP Uncertainty Component" dataDxfId="13">
      <calculatedColumnFormula>(Table13[[#This Row],[Percent contribution to Scenario 2 inventory]]^2)*((LN(Table13[[#This Row],[GWP GSD]]))^2)</calculatedColumnFormula>
    </tableColumn>
    <tableColumn id="64" name="Contribution to Total Scenario 2 Uncertainty" dataDxfId="12">
      <calculatedColumnFormula>SUM(Table13[[#This Row],[Scenario 2 Emission Factor Uncertainty Component]:[Scenario 2 GWP Uncertainty Component]])</calculatedColumnFormula>
    </tableColumn>
    <tableColumn id="65" name="Scenario 3 Emission Factor Uncertainty Component" dataDxfId="11">
      <calculatedColumnFormula>(Table13[[#This Row],[Percent contribution to Scenario 3 inventory]]^2)*((LN(Table13[[#This Row],[Emission Factor GSD]]))^2)</calculatedColumnFormula>
    </tableColumn>
    <tableColumn id="66" name="Scenario 3 Activity Uncertainty Component" dataDxfId="10">
      <calculatedColumnFormula>(Table13[[#This Row],[Percent contribution to Scenario 3 inventory]]^2)*((LN(Table13[[#This Row],[Activity Data GSD]]))^2)</calculatedColumnFormula>
    </tableColumn>
    <tableColumn id="76" name="Scenario 3 GWP Uncertainty Component" dataDxfId="9">
      <calculatedColumnFormula>(Table13[[#This Row],[Percent contribution to Scenario 3 inventory]]^2)*((LN(Table13[[#This Row],[GWP GSD]]))^2)</calculatedColumnFormula>
    </tableColumn>
    <tableColumn id="67" name="Contribution to Total Scenario 3 Uncertainty" dataDxfId="8">
      <calculatedColumnFormula>SUM(Table13[[#This Row],[Scenario 3 Emission Factor Uncertainty Component]:[Scenario 3 GWP Uncertainty Component]])</calculatedColumnFormula>
    </tableColumn>
    <tableColumn id="68" name="Scenario 4 Emission Factor Uncertainty Component" dataDxfId="7">
      <calculatedColumnFormula>(Table13[[#This Row],[Percent contribution to Scenario 4 inventory]]^2)*((LN(Table13[[#This Row],[Emission Factor GSD]]))^2)</calculatedColumnFormula>
    </tableColumn>
    <tableColumn id="69" name="Scenario 4 Activity Uncertainty Component" dataDxfId="6">
      <calculatedColumnFormula>(Table13[[#This Row],[Percent contribution to Scenario 4 inventory]]^2)*((LN(Table13[[#This Row],[Activity Data GSD]]))^2)</calculatedColumnFormula>
    </tableColumn>
    <tableColumn id="77" name="Scenario 4 GWP Uncertainty Component" dataDxfId="5">
      <calculatedColumnFormula>(Table13[[#This Row],[Percent contribution to Scenario 4 inventory]]^2)*((LN(Table13[[#This Row],[GWP GSD]]))^2)</calculatedColumnFormula>
    </tableColumn>
    <tableColumn id="70" name="Contribution to Total Scenario 4 Uncertainty" dataDxfId="4">
      <calculatedColumnFormula>SUM(Table13[[#This Row],[Scenario 4 Emission Factor Uncertainty Component]:[Scenario 4 GWP Uncertainty Component]])</calculatedColumnFormula>
    </tableColumn>
    <tableColumn id="71" name="Scenario 5 Emission Factor Uncertainty Component" dataDxfId="3">
      <calculatedColumnFormula>(Table13[[#This Row],[Percent contribution to Scenario 5 inventory]]^2)*((LN(Table13[[#This Row],[Emission Factor GSD]]))^2)</calculatedColumnFormula>
    </tableColumn>
    <tableColumn id="72" name="Scenario 5 Activity Uncertainty Component" dataDxfId="2">
      <calculatedColumnFormula>(Table13[[#This Row],[Percent contribution to Scenario 5 inventory]]^2)*((LN(Table13[[#This Row],[Activity Data GSD]]))^2)</calculatedColumnFormula>
    </tableColumn>
    <tableColumn id="78" name="Scenario 5 GWP Uncertainty Component" dataDxfId="1">
      <calculatedColumnFormula>(Table13[[#This Row],[Percent contribution to Scenario 5 inventory]]^2)*((LN(Table13[[#This Row],[GWP GSD]]))^2)</calculatedColumnFormula>
    </tableColumn>
    <tableColumn id="73" name="Contribution to Total Scenario 5 Uncertainty" dataDxfId="0">
      <calculatedColumnFormula>SUM(Table13[[#This Row],[Scenario 5 Emission Factor Uncertainty Component]:[Scenario 5 GWP Uncertainty Component]])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I70"/>
  <sheetViews>
    <sheetView topLeftCell="A28" zoomScaleNormal="100" workbookViewId="0">
      <selection activeCell="B2" sqref="B2:I70"/>
    </sheetView>
  </sheetViews>
  <sheetFormatPr defaultRowHeight="12.75" x14ac:dyDescent="0.2"/>
  <cols>
    <col min="1" max="1" width="3.5703125" style="59" customWidth="1"/>
    <col min="2" max="8" width="9.140625" style="59"/>
    <col min="9" max="9" width="12.85546875" style="59" customWidth="1"/>
    <col min="10" max="10" width="4.5703125" style="59" customWidth="1"/>
    <col min="11" max="16384" width="9.140625" style="59"/>
  </cols>
  <sheetData>
    <row r="2" spans="2:9" ht="12.75" customHeight="1" x14ac:dyDescent="0.2">
      <c r="B2" s="104" t="s">
        <v>202</v>
      </c>
      <c r="C2" s="104"/>
      <c r="D2" s="104"/>
      <c r="E2" s="104"/>
      <c r="F2" s="104"/>
      <c r="G2" s="104"/>
      <c r="H2" s="104"/>
      <c r="I2" s="104"/>
    </row>
    <row r="3" spans="2:9" x14ac:dyDescent="0.2">
      <c r="B3" s="104"/>
      <c r="C3" s="104"/>
      <c r="D3" s="104"/>
      <c r="E3" s="104"/>
      <c r="F3" s="104"/>
      <c r="G3" s="104"/>
      <c r="H3" s="104"/>
      <c r="I3" s="104"/>
    </row>
    <row r="4" spans="2:9" x14ac:dyDescent="0.2">
      <c r="B4" s="104"/>
      <c r="C4" s="104"/>
      <c r="D4" s="104"/>
      <c r="E4" s="104"/>
      <c r="F4" s="104"/>
      <c r="G4" s="104"/>
      <c r="H4" s="104"/>
      <c r="I4" s="104"/>
    </row>
    <row r="5" spans="2:9" x14ac:dyDescent="0.2">
      <c r="B5" s="104"/>
      <c r="C5" s="104"/>
      <c r="D5" s="104"/>
      <c r="E5" s="104"/>
      <c r="F5" s="104"/>
      <c r="G5" s="104"/>
      <c r="H5" s="104"/>
      <c r="I5" s="104"/>
    </row>
    <row r="6" spans="2:9" x14ac:dyDescent="0.2">
      <c r="B6" s="104"/>
      <c r="C6" s="104"/>
      <c r="D6" s="104"/>
      <c r="E6" s="104"/>
      <c r="F6" s="104"/>
      <c r="G6" s="104"/>
      <c r="H6" s="104"/>
      <c r="I6" s="104"/>
    </row>
    <row r="7" spans="2:9" x14ac:dyDescent="0.2">
      <c r="B7" s="104"/>
      <c r="C7" s="104"/>
      <c r="D7" s="104"/>
      <c r="E7" s="104"/>
      <c r="F7" s="104"/>
      <c r="G7" s="104"/>
      <c r="H7" s="104"/>
      <c r="I7" s="104"/>
    </row>
    <row r="8" spans="2:9" x14ac:dyDescent="0.2">
      <c r="B8" s="104"/>
      <c r="C8" s="104"/>
      <c r="D8" s="104"/>
      <c r="E8" s="104"/>
      <c r="F8" s="104"/>
      <c r="G8" s="104"/>
      <c r="H8" s="104"/>
      <c r="I8" s="104"/>
    </row>
    <row r="9" spans="2:9" x14ac:dyDescent="0.2">
      <c r="B9" s="104"/>
      <c r="C9" s="104"/>
      <c r="D9" s="104"/>
      <c r="E9" s="104"/>
      <c r="F9" s="104"/>
      <c r="G9" s="104"/>
      <c r="H9" s="104"/>
      <c r="I9" s="104"/>
    </row>
    <row r="10" spans="2:9" x14ac:dyDescent="0.2">
      <c r="B10" s="104"/>
      <c r="C10" s="104"/>
      <c r="D10" s="104"/>
      <c r="E10" s="104"/>
      <c r="F10" s="104"/>
      <c r="G10" s="104"/>
      <c r="H10" s="104"/>
      <c r="I10" s="104"/>
    </row>
    <row r="11" spans="2:9" x14ac:dyDescent="0.2">
      <c r="B11" s="104"/>
      <c r="C11" s="104"/>
      <c r="D11" s="104"/>
      <c r="E11" s="104"/>
      <c r="F11" s="104"/>
      <c r="G11" s="104"/>
      <c r="H11" s="104"/>
      <c r="I11" s="104"/>
    </row>
    <row r="12" spans="2:9" x14ac:dyDescent="0.2">
      <c r="B12" s="104"/>
      <c r="C12" s="104"/>
      <c r="D12" s="104"/>
      <c r="E12" s="104"/>
      <c r="F12" s="104"/>
      <c r="G12" s="104"/>
      <c r="H12" s="104"/>
      <c r="I12" s="104"/>
    </row>
    <row r="13" spans="2:9" x14ac:dyDescent="0.2">
      <c r="B13" s="104"/>
      <c r="C13" s="104"/>
      <c r="D13" s="104"/>
      <c r="E13" s="104"/>
      <c r="F13" s="104"/>
      <c r="G13" s="104"/>
      <c r="H13" s="104"/>
      <c r="I13" s="104"/>
    </row>
    <row r="14" spans="2:9" x14ac:dyDescent="0.2">
      <c r="B14" s="104"/>
      <c r="C14" s="104"/>
      <c r="D14" s="104"/>
      <c r="E14" s="104"/>
      <c r="F14" s="104"/>
      <c r="G14" s="104"/>
      <c r="H14" s="104"/>
      <c r="I14" s="104"/>
    </row>
    <row r="15" spans="2:9" x14ac:dyDescent="0.2">
      <c r="B15" s="104"/>
      <c r="C15" s="104"/>
      <c r="D15" s="104"/>
      <c r="E15" s="104"/>
      <c r="F15" s="104"/>
      <c r="G15" s="104"/>
      <c r="H15" s="104"/>
      <c r="I15" s="104"/>
    </row>
    <row r="16" spans="2:9" x14ac:dyDescent="0.2">
      <c r="B16" s="104"/>
      <c r="C16" s="104"/>
      <c r="D16" s="104"/>
      <c r="E16" s="104"/>
      <c r="F16" s="104"/>
      <c r="G16" s="104"/>
      <c r="H16" s="104"/>
      <c r="I16" s="104"/>
    </row>
    <row r="17" spans="2:9" x14ac:dyDescent="0.2">
      <c r="B17" s="104"/>
      <c r="C17" s="104"/>
      <c r="D17" s="104"/>
      <c r="E17" s="104"/>
      <c r="F17" s="104"/>
      <c r="G17" s="104"/>
      <c r="H17" s="104"/>
      <c r="I17" s="104"/>
    </row>
    <row r="18" spans="2:9" x14ac:dyDescent="0.2">
      <c r="B18" s="104"/>
      <c r="C18" s="104"/>
      <c r="D18" s="104"/>
      <c r="E18" s="104"/>
      <c r="F18" s="104"/>
      <c r="G18" s="104"/>
      <c r="H18" s="104"/>
      <c r="I18" s="104"/>
    </row>
    <row r="19" spans="2:9" x14ac:dyDescent="0.2">
      <c r="B19" s="104"/>
      <c r="C19" s="104"/>
      <c r="D19" s="104"/>
      <c r="E19" s="104"/>
      <c r="F19" s="104"/>
      <c r="G19" s="104"/>
      <c r="H19" s="104"/>
      <c r="I19" s="104"/>
    </row>
    <row r="20" spans="2:9" x14ac:dyDescent="0.2">
      <c r="B20" s="104"/>
      <c r="C20" s="104"/>
      <c r="D20" s="104"/>
      <c r="E20" s="104"/>
      <c r="F20" s="104"/>
      <c r="G20" s="104"/>
      <c r="H20" s="104"/>
      <c r="I20" s="104"/>
    </row>
    <row r="21" spans="2:9" x14ac:dyDescent="0.2">
      <c r="B21" s="104"/>
      <c r="C21" s="104"/>
      <c r="D21" s="104"/>
      <c r="E21" s="104"/>
      <c r="F21" s="104"/>
      <c r="G21" s="104"/>
      <c r="H21" s="104"/>
      <c r="I21" s="104"/>
    </row>
    <row r="22" spans="2:9" x14ac:dyDescent="0.2">
      <c r="B22" s="104"/>
      <c r="C22" s="104"/>
      <c r="D22" s="104"/>
      <c r="E22" s="104"/>
      <c r="F22" s="104"/>
      <c r="G22" s="104"/>
      <c r="H22" s="104"/>
      <c r="I22" s="104"/>
    </row>
    <row r="23" spans="2:9" x14ac:dyDescent="0.2">
      <c r="B23" s="104"/>
      <c r="C23" s="104"/>
      <c r="D23" s="104"/>
      <c r="E23" s="104"/>
      <c r="F23" s="104"/>
      <c r="G23" s="104"/>
      <c r="H23" s="104"/>
      <c r="I23" s="104"/>
    </row>
    <row r="24" spans="2:9" x14ac:dyDescent="0.2">
      <c r="B24" s="104"/>
      <c r="C24" s="104"/>
      <c r="D24" s="104"/>
      <c r="E24" s="104"/>
      <c r="F24" s="104"/>
      <c r="G24" s="104"/>
      <c r="H24" s="104"/>
      <c r="I24" s="104"/>
    </row>
    <row r="25" spans="2:9" x14ac:dyDescent="0.2">
      <c r="B25" s="104"/>
      <c r="C25" s="104"/>
      <c r="D25" s="104"/>
      <c r="E25" s="104"/>
      <c r="F25" s="104"/>
      <c r="G25" s="104"/>
      <c r="H25" s="104"/>
      <c r="I25" s="104"/>
    </row>
    <row r="26" spans="2:9" x14ac:dyDescent="0.2">
      <c r="B26" s="104"/>
      <c r="C26" s="104"/>
      <c r="D26" s="104"/>
      <c r="E26" s="104"/>
      <c r="F26" s="104"/>
      <c r="G26" s="104"/>
      <c r="H26" s="104"/>
      <c r="I26" s="104"/>
    </row>
    <row r="27" spans="2:9" x14ac:dyDescent="0.2">
      <c r="B27" s="104"/>
      <c r="C27" s="104"/>
      <c r="D27" s="104"/>
      <c r="E27" s="104"/>
      <c r="F27" s="104"/>
      <c r="G27" s="104"/>
      <c r="H27" s="104"/>
      <c r="I27" s="104"/>
    </row>
    <row r="28" spans="2:9" x14ac:dyDescent="0.2">
      <c r="B28" s="104"/>
      <c r="C28" s="104"/>
      <c r="D28" s="104"/>
      <c r="E28" s="104"/>
      <c r="F28" s="104"/>
      <c r="G28" s="104"/>
      <c r="H28" s="104"/>
      <c r="I28" s="104"/>
    </row>
    <row r="29" spans="2:9" x14ac:dyDescent="0.2">
      <c r="B29" s="104"/>
      <c r="C29" s="104"/>
      <c r="D29" s="104"/>
      <c r="E29" s="104"/>
      <c r="F29" s="104"/>
      <c r="G29" s="104"/>
      <c r="H29" s="104"/>
      <c r="I29" s="104"/>
    </row>
    <row r="30" spans="2:9" x14ac:dyDescent="0.2">
      <c r="B30" s="104"/>
      <c r="C30" s="104"/>
      <c r="D30" s="104"/>
      <c r="E30" s="104"/>
      <c r="F30" s="104"/>
      <c r="G30" s="104"/>
      <c r="H30" s="104"/>
      <c r="I30" s="104"/>
    </row>
    <row r="31" spans="2:9" x14ac:dyDescent="0.2">
      <c r="B31" s="104"/>
      <c r="C31" s="104"/>
      <c r="D31" s="104"/>
      <c r="E31" s="104"/>
      <c r="F31" s="104"/>
      <c r="G31" s="104"/>
      <c r="H31" s="104"/>
      <c r="I31" s="104"/>
    </row>
    <row r="32" spans="2:9" x14ac:dyDescent="0.2">
      <c r="B32" s="104"/>
      <c r="C32" s="104"/>
      <c r="D32" s="104"/>
      <c r="E32" s="104"/>
      <c r="F32" s="104"/>
      <c r="G32" s="104"/>
      <c r="H32" s="104"/>
      <c r="I32" s="104"/>
    </row>
    <row r="33" spans="2:9" x14ac:dyDescent="0.2">
      <c r="B33" s="104"/>
      <c r="C33" s="104"/>
      <c r="D33" s="104"/>
      <c r="E33" s="104"/>
      <c r="F33" s="104"/>
      <c r="G33" s="104"/>
      <c r="H33" s="104"/>
      <c r="I33" s="104"/>
    </row>
    <row r="34" spans="2:9" x14ac:dyDescent="0.2">
      <c r="B34" s="104"/>
      <c r="C34" s="104"/>
      <c r="D34" s="104"/>
      <c r="E34" s="104"/>
      <c r="F34" s="104"/>
      <c r="G34" s="104"/>
      <c r="H34" s="104"/>
      <c r="I34" s="104"/>
    </row>
    <row r="35" spans="2:9" x14ac:dyDescent="0.2">
      <c r="B35" s="104"/>
      <c r="C35" s="104"/>
      <c r="D35" s="104"/>
      <c r="E35" s="104"/>
      <c r="F35" s="104"/>
      <c r="G35" s="104"/>
      <c r="H35" s="104"/>
      <c r="I35" s="104"/>
    </row>
    <row r="36" spans="2:9" x14ac:dyDescent="0.2">
      <c r="B36" s="104"/>
      <c r="C36" s="104"/>
      <c r="D36" s="104"/>
      <c r="E36" s="104"/>
      <c r="F36" s="104"/>
      <c r="G36" s="104"/>
      <c r="H36" s="104"/>
      <c r="I36" s="104"/>
    </row>
    <row r="37" spans="2:9" x14ac:dyDescent="0.2">
      <c r="B37" s="104"/>
      <c r="C37" s="104"/>
      <c r="D37" s="104"/>
      <c r="E37" s="104"/>
      <c r="F37" s="104"/>
      <c r="G37" s="104"/>
      <c r="H37" s="104"/>
      <c r="I37" s="104"/>
    </row>
    <row r="38" spans="2:9" x14ac:dyDescent="0.2">
      <c r="B38" s="104"/>
      <c r="C38" s="104"/>
      <c r="D38" s="104"/>
      <c r="E38" s="104"/>
      <c r="F38" s="104"/>
      <c r="G38" s="104"/>
      <c r="H38" s="104"/>
      <c r="I38" s="104"/>
    </row>
    <row r="39" spans="2:9" x14ac:dyDescent="0.2">
      <c r="B39" s="104"/>
      <c r="C39" s="104"/>
      <c r="D39" s="104"/>
      <c r="E39" s="104"/>
      <c r="F39" s="104"/>
      <c r="G39" s="104"/>
      <c r="H39" s="104"/>
      <c r="I39" s="104"/>
    </row>
    <row r="40" spans="2:9" x14ac:dyDescent="0.2">
      <c r="B40" s="104"/>
      <c r="C40" s="104"/>
      <c r="D40" s="104"/>
      <c r="E40" s="104"/>
      <c r="F40" s="104"/>
      <c r="G40" s="104"/>
      <c r="H40" s="104"/>
      <c r="I40" s="104"/>
    </row>
    <row r="41" spans="2:9" x14ac:dyDescent="0.2">
      <c r="B41" s="104"/>
      <c r="C41" s="104"/>
      <c r="D41" s="104"/>
      <c r="E41" s="104"/>
      <c r="F41" s="104"/>
      <c r="G41" s="104"/>
      <c r="H41" s="104"/>
      <c r="I41" s="104"/>
    </row>
    <row r="42" spans="2:9" x14ac:dyDescent="0.2">
      <c r="B42" s="104"/>
      <c r="C42" s="104"/>
      <c r="D42" s="104"/>
      <c r="E42" s="104"/>
      <c r="F42" s="104"/>
      <c r="G42" s="104"/>
      <c r="H42" s="104"/>
      <c r="I42" s="104"/>
    </row>
    <row r="43" spans="2:9" x14ac:dyDescent="0.2">
      <c r="B43" s="104"/>
      <c r="C43" s="104"/>
      <c r="D43" s="104"/>
      <c r="E43" s="104"/>
      <c r="F43" s="104"/>
      <c r="G43" s="104"/>
      <c r="H43" s="104"/>
      <c r="I43" s="104"/>
    </row>
    <row r="44" spans="2:9" x14ac:dyDescent="0.2">
      <c r="B44" s="104"/>
      <c r="C44" s="104"/>
      <c r="D44" s="104"/>
      <c r="E44" s="104"/>
      <c r="F44" s="104"/>
      <c r="G44" s="104"/>
      <c r="H44" s="104"/>
      <c r="I44" s="104"/>
    </row>
    <row r="45" spans="2:9" x14ac:dyDescent="0.2">
      <c r="B45" s="104"/>
      <c r="C45" s="104"/>
      <c r="D45" s="104"/>
      <c r="E45" s="104"/>
      <c r="F45" s="104"/>
      <c r="G45" s="104"/>
      <c r="H45" s="104"/>
      <c r="I45" s="104"/>
    </row>
    <row r="46" spans="2:9" x14ac:dyDescent="0.2">
      <c r="B46" s="104"/>
      <c r="C46" s="104"/>
      <c r="D46" s="104"/>
      <c r="E46" s="104"/>
      <c r="F46" s="104"/>
      <c r="G46" s="104"/>
      <c r="H46" s="104"/>
      <c r="I46" s="104"/>
    </row>
    <row r="47" spans="2:9" x14ac:dyDescent="0.2">
      <c r="B47" s="104"/>
      <c r="C47" s="104"/>
      <c r="D47" s="104"/>
      <c r="E47" s="104"/>
      <c r="F47" s="104"/>
      <c r="G47" s="104"/>
      <c r="H47" s="104"/>
      <c r="I47" s="104"/>
    </row>
    <row r="48" spans="2:9" x14ac:dyDescent="0.2">
      <c r="B48" s="104"/>
      <c r="C48" s="104"/>
      <c r="D48" s="104"/>
      <c r="E48" s="104"/>
      <c r="F48" s="104"/>
      <c r="G48" s="104"/>
      <c r="H48" s="104"/>
      <c r="I48" s="104"/>
    </row>
    <row r="49" spans="2:9" x14ac:dyDescent="0.2">
      <c r="B49" s="104"/>
      <c r="C49" s="104"/>
      <c r="D49" s="104"/>
      <c r="E49" s="104"/>
      <c r="F49" s="104"/>
      <c r="G49" s="104"/>
      <c r="H49" s="104"/>
      <c r="I49" s="104"/>
    </row>
    <row r="50" spans="2:9" x14ac:dyDescent="0.2">
      <c r="B50" s="104"/>
      <c r="C50" s="104"/>
      <c r="D50" s="104"/>
      <c r="E50" s="104"/>
      <c r="F50" s="104"/>
      <c r="G50" s="104"/>
      <c r="H50" s="104"/>
      <c r="I50" s="104"/>
    </row>
    <row r="51" spans="2:9" x14ac:dyDescent="0.2">
      <c r="B51" s="104"/>
      <c r="C51" s="104"/>
      <c r="D51" s="104"/>
      <c r="E51" s="104"/>
      <c r="F51" s="104"/>
      <c r="G51" s="104"/>
      <c r="H51" s="104"/>
      <c r="I51" s="104"/>
    </row>
    <row r="52" spans="2:9" x14ac:dyDescent="0.2">
      <c r="B52" s="104"/>
      <c r="C52" s="104"/>
      <c r="D52" s="104"/>
      <c r="E52" s="104"/>
      <c r="F52" s="104"/>
      <c r="G52" s="104"/>
      <c r="H52" s="104"/>
      <c r="I52" s="104"/>
    </row>
    <row r="53" spans="2:9" x14ac:dyDescent="0.2">
      <c r="B53" s="104"/>
      <c r="C53" s="104"/>
      <c r="D53" s="104"/>
      <c r="E53" s="104"/>
      <c r="F53" s="104"/>
      <c r="G53" s="104"/>
      <c r="H53" s="104"/>
      <c r="I53" s="104"/>
    </row>
    <row r="54" spans="2:9" x14ac:dyDescent="0.2">
      <c r="B54" s="104"/>
      <c r="C54" s="104"/>
      <c r="D54" s="104"/>
      <c r="E54" s="104"/>
      <c r="F54" s="104"/>
      <c r="G54" s="104"/>
      <c r="H54" s="104"/>
      <c r="I54" s="104"/>
    </row>
    <row r="55" spans="2:9" x14ac:dyDescent="0.2">
      <c r="B55" s="104"/>
      <c r="C55" s="104"/>
      <c r="D55" s="104"/>
      <c r="E55" s="104"/>
      <c r="F55" s="104"/>
      <c r="G55" s="104"/>
      <c r="H55" s="104"/>
      <c r="I55" s="104"/>
    </row>
    <row r="56" spans="2:9" x14ac:dyDescent="0.2">
      <c r="B56" s="104"/>
      <c r="C56" s="104"/>
      <c r="D56" s="104"/>
      <c r="E56" s="104"/>
      <c r="F56" s="104"/>
      <c r="G56" s="104"/>
      <c r="H56" s="104"/>
      <c r="I56" s="104"/>
    </row>
    <row r="57" spans="2:9" x14ac:dyDescent="0.2">
      <c r="B57" s="104"/>
      <c r="C57" s="104"/>
      <c r="D57" s="104"/>
      <c r="E57" s="104"/>
      <c r="F57" s="104"/>
      <c r="G57" s="104"/>
      <c r="H57" s="104"/>
      <c r="I57" s="104"/>
    </row>
    <row r="58" spans="2:9" x14ac:dyDescent="0.2">
      <c r="B58" s="104"/>
      <c r="C58" s="104"/>
      <c r="D58" s="104"/>
      <c r="E58" s="104"/>
      <c r="F58" s="104"/>
      <c r="G58" s="104"/>
      <c r="H58" s="104"/>
      <c r="I58" s="104"/>
    </row>
    <row r="59" spans="2:9" x14ac:dyDescent="0.2">
      <c r="B59" s="104"/>
      <c r="C59" s="104"/>
      <c r="D59" s="104"/>
      <c r="E59" s="104"/>
      <c r="F59" s="104"/>
      <c r="G59" s="104"/>
      <c r="H59" s="104"/>
      <c r="I59" s="104"/>
    </row>
    <row r="60" spans="2:9" x14ac:dyDescent="0.2">
      <c r="B60" s="104"/>
      <c r="C60" s="104"/>
      <c r="D60" s="104"/>
      <c r="E60" s="104"/>
      <c r="F60" s="104"/>
      <c r="G60" s="104"/>
      <c r="H60" s="104"/>
      <c r="I60" s="104"/>
    </row>
    <row r="61" spans="2:9" x14ac:dyDescent="0.2">
      <c r="B61" s="104"/>
      <c r="C61" s="104"/>
      <c r="D61" s="104"/>
      <c r="E61" s="104"/>
      <c r="F61" s="104"/>
      <c r="G61" s="104"/>
      <c r="H61" s="104"/>
      <c r="I61" s="104"/>
    </row>
    <row r="62" spans="2:9" x14ac:dyDescent="0.2">
      <c r="B62" s="104"/>
      <c r="C62" s="104"/>
      <c r="D62" s="104"/>
      <c r="E62" s="104"/>
      <c r="F62" s="104"/>
      <c r="G62" s="104"/>
      <c r="H62" s="104"/>
      <c r="I62" s="104"/>
    </row>
    <row r="63" spans="2:9" x14ac:dyDescent="0.2">
      <c r="B63" s="104"/>
      <c r="C63" s="104"/>
      <c r="D63" s="104"/>
      <c r="E63" s="104"/>
      <c r="F63" s="104"/>
      <c r="G63" s="104"/>
      <c r="H63" s="104"/>
      <c r="I63" s="104"/>
    </row>
    <row r="64" spans="2:9" x14ac:dyDescent="0.2">
      <c r="B64" s="104"/>
      <c r="C64" s="104"/>
      <c r="D64" s="104"/>
      <c r="E64" s="104"/>
      <c r="F64" s="104"/>
      <c r="G64" s="104"/>
      <c r="H64" s="104"/>
      <c r="I64" s="104"/>
    </row>
    <row r="65" spans="2:9" x14ac:dyDescent="0.2">
      <c r="B65" s="104"/>
      <c r="C65" s="104"/>
      <c r="D65" s="104"/>
      <c r="E65" s="104"/>
      <c r="F65" s="104"/>
      <c r="G65" s="104"/>
      <c r="H65" s="104"/>
      <c r="I65" s="104"/>
    </row>
    <row r="66" spans="2:9" x14ac:dyDescent="0.2">
      <c r="B66" s="104"/>
      <c r="C66" s="104"/>
      <c r="D66" s="104"/>
      <c r="E66" s="104"/>
      <c r="F66" s="104"/>
      <c r="G66" s="104"/>
      <c r="H66" s="104"/>
      <c r="I66" s="104"/>
    </row>
    <row r="67" spans="2:9" x14ac:dyDescent="0.2">
      <c r="B67" s="104"/>
      <c r="C67" s="104"/>
      <c r="D67" s="104"/>
      <c r="E67" s="104"/>
      <c r="F67" s="104"/>
      <c r="G67" s="104"/>
      <c r="H67" s="104"/>
      <c r="I67" s="104"/>
    </row>
    <row r="68" spans="2:9" x14ac:dyDescent="0.2">
      <c r="B68" s="104"/>
      <c r="C68" s="104"/>
      <c r="D68" s="104"/>
      <c r="E68" s="104"/>
      <c r="F68" s="104"/>
      <c r="G68" s="104"/>
      <c r="H68" s="104"/>
      <c r="I68" s="104"/>
    </row>
    <row r="69" spans="2:9" x14ac:dyDescent="0.2">
      <c r="B69" s="104"/>
      <c r="C69" s="104"/>
      <c r="D69" s="104"/>
      <c r="E69" s="104"/>
      <c r="F69" s="104"/>
      <c r="G69" s="104"/>
      <c r="H69" s="104"/>
      <c r="I69" s="104"/>
    </row>
    <row r="70" spans="2:9" x14ac:dyDescent="0.2">
      <c r="B70" s="104"/>
      <c r="C70" s="104"/>
      <c r="D70" s="104"/>
      <c r="E70" s="104"/>
      <c r="F70" s="104"/>
      <c r="G70" s="104"/>
      <c r="H70" s="104"/>
      <c r="I70" s="104"/>
    </row>
  </sheetData>
  <mergeCells count="1">
    <mergeCell ref="B2:I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50"/>
  <sheetViews>
    <sheetView zoomScale="80" zoomScaleNormal="80" workbookViewId="0">
      <selection activeCell="D64" sqref="D64"/>
    </sheetView>
  </sheetViews>
  <sheetFormatPr defaultRowHeight="12.75" x14ac:dyDescent="0.2"/>
  <cols>
    <col min="1" max="1" width="23.28515625" customWidth="1"/>
    <col min="2" max="2" width="16.85546875" customWidth="1"/>
    <col min="3" max="3" width="57.7109375" customWidth="1"/>
  </cols>
  <sheetData>
    <row r="1" spans="1:3" ht="31.5" customHeight="1" x14ac:dyDescent="0.2"/>
    <row r="2" spans="1:3" s="1" customFormat="1" x14ac:dyDescent="0.2">
      <c r="A2" s="1" t="s">
        <v>35</v>
      </c>
      <c r="B2" s="1" t="s">
        <v>36</v>
      </c>
      <c r="C2" s="1" t="s">
        <v>37</v>
      </c>
    </row>
    <row r="32" spans="1:3" s="1" customFormat="1" x14ac:dyDescent="0.2">
      <c r="A32" s="1" t="s">
        <v>35</v>
      </c>
      <c r="B32" s="1" t="s">
        <v>36</v>
      </c>
      <c r="C32" s="1" t="s">
        <v>37</v>
      </c>
    </row>
    <row r="50" spans="1:3" s="1" customFormat="1" x14ac:dyDescent="0.2">
      <c r="A50" s="1" t="s">
        <v>35</v>
      </c>
      <c r="B50" s="1" t="s">
        <v>36</v>
      </c>
      <c r="C50" s="1" t="s">
        <v>37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F48"/>
  <sheetViews>
    <sheetView workbookViewId="0">
      <selection activeCell="S1" sqref="S1"/>
    </sheetView>
  </sheetViews>
  <sheetFormatPr defaultRowHeight="12.75" x14ac:dyDescent="0.2"/>
  <cols>
    <col min="1" max="1" width="30.5703125" style="60" customWidth="1"/>
    <col min="2" max="2" width="23.140625" style="60" customWidth="1"/>
    <col min="3" max="16384" width="9.140625" style="60"/>
  </cols>
  <sheetData>
    <row r="1" spans="1:3" ht="33" customHeight="1" x14ac:dyDescent="0.25">
      <c r="A1" s="84" t="s">
        <v>214</v>
      </c>
    </row>
    <row r="2" spans="1:3" ht="33" customHeight="1" x14ac:dyDescent="0.3">
      <c r="A2" s="74" t="s">
        <v>180</v>
      </c>
    </row>
    <row r="3" spans="1:3" x14ac:dyDescent="0.2">
      <c r="A3" s="69" t="s">
        <v>18</v>
      </c>
      <c r="B3" s="61" t="s">
        <v>83</v>
      </c>
    </row>
    <row r="4" spans="1:3" x14ac:dyDescent="0.2">
      <c r="A4" s="69" t="s">
        <v>19</v>
      </c>
      <c r="B4" s="61" t="s">
        <v>184</v>
      </c>
    </row>
    <row r="5" spans="1:3" x14ac:dyDescent="0.2">
      <c r="A5" s="69" t="s">
        <v>20</v>
      </c>
      <c r="B5" s="61" t="s">
        <v>185</v>
      </c>
    </row>
    <row r="6" spans="1:3" x14ac:dyDescent="0.2">
      <c r="A6" s="69" t="s">
        <v>21</v>
      </c>
      <c r="B6" s="61" t="s">
        <v>186</v>
      </c>
    </row>
    <row r="7" spans="1:3" x14ac:dyDescent="0.2">
      <c r="A7" s="69" t="s">
        <v>22</v>
      </c>
      <c r="B7" s="61" t="s">
        <v>187</v>
      </c>
    </row>
    <row r="8" spans="1:3" x14ac:dyDescent="0.2">
      <c r="A8" s="62"/>
      <c r="B8" s="62"/>
    </row>
    <row r="9" spans="1:3" x14ac:dyDescent="0.2">
      <c r="A9" s="70" t="s">
        <v>178</v>
      </c>
      <c r="B9" s="66" t="s">
        <v>179</v>
      </c>
      <c r="C9" s="63" t="str">
        <f>"Total Life Cycle GHG Inventory (Kg CO2e) per "&amp;Info!$B$9</f>
        <v>Total Life Cycle GHG Inventory (Kg CO2e) per 50,000 Pages Printed</v>
      </c>
    </row>
    <row r="10" spans="1:3" x14ac:dyDescent="0.2">
      <c r="A10" s="62"/>
      <c r="B10" s="62"/>
    </row>
    <row r="12" spans="1:3" ht="20.25" x14ac:dyDescent="0.3">
      <c r="A12" s="74" t="s">
        <v>85</v>
      </c>
    </row>
    <row r="13" spans="1:3" x14ac:dyDescent="0.2">
      <c r="A13" s="71" t="s">
        <v>201</v>
      </c>
      <c r="B13" s="64" t="s">
        <v>53</v>
      </c>
    </row>
    <row r="14" spans="1:3" x14ac:dyDescent="0.2">
      <c r="A14" s="71" t="s">
        <v>12</v>
      </c>
      <c r="B14" s="64" t="s">
        <v>53</v>
      </c>
    </row>
    <row r="15" spans="1:3" x14ac:dyDescent="0.2">
      <c r="A15" s="71" t="s">
        <v>50</v>
      </c>
      <c r="B15" s="64" t="s">
        <v>53</v>
      </c>
    </row>
    <row r="16" spans="1:3" x14ac:dyDescent="0.2">
      <c r="A16" s="71" t="s">
        <v>51</v>
      </c>
      <c r="B16" s="64" t="s">
        <v>53</v>
      </c>
    </row>
    <row r="17" spans="1:6" x14ac:dyDescent="0.2">
      <c r="A17" s="71" t="s">
        <v>52</v>
      </c>
      <c r="B17" s="64" t="s">
        <v>53</v>
      </c>
    </row>
    <row r="19" spans="1:6" ht="20.25" x14ac:dyDescent="0.3">
      <c r="A19" s="74" t="s">
        <v>86</v>
      </c>
    </row>
    <row r="20" spans="1:6" x14ac:dyDescent="0.2">
      <c r="A20" s="71" t="s">
        <v>201</v>
      </c>
      <c r="B20" s="64" t="s">
        <v>53</v>
      </c>
    </row>
    <row r="21" spans="1:6" x14ac:dyDescent="0.2">
      <c r="A21" s="71" t="s">
        <v>12</v>
      </c>
      <c r="B21" s="64" t="s">
        <v>53</v>
      </c>
    </row>
    <row r="22" spans="1:6" x14ac:dyDescent="0.2">
      <c r="A22" s="71" t="s">
        <v>50</v>
      </c>
      <c r="B22" s="64" t="s">
        <v>53</v>
      </c>
    </row>
    <row r="23" spans="1:6" x14ac:dyDescent="0.2">
      <c r="A23" s="71" t="s">
        <v>51</v>
      </c>
      <c r="B23" s="64" t="s">
        <v>53</v>
      </c>
    </row>
    <row r="24" spans="1:6" x14ac:dyDescent="0.2">
      <c r="A24" s="71" t="s">
        <v>52</v>
      </c>
      <c r="B24" s="64" t="s">
        <v>53</v>
      </c>
    </row>
    <row r="25" spans="1:6" x14ac:dyDescent="0.2">
      <c r="A25" s="65"/>
      <c r="B25" s="65"/>
    </row>
    <row r="26" spans="1:6" ht="20.25" x14ac:dyDescent="0.3">
      <c r="A26" s="75" t="s">
        <v>181</v>
      </c>
    </row>
    <row r="27" spans="1:6" x14ac:dyDescent="0.2">
      <c r="A27" s="70" t="s">
        <v>196</v>
      </c>
      <c r="B27" s="64">
        <v>1.35</v>
      </c>
    </row>
    <row r="28" spans="1:6" x14ac:dyDescent="0.2">
      <c r="A28" s="70" t="s">
        <v>195</v>
      </c>
      <c r="B28" s="64">
        <v>1</v>
      </c>
    </row>
    <row r="30" spans="1:6" ht="20.25" x14ac:dyDescent="0.3">
      <c r="A30" s="74" t="s">
        <v>182</v>
      </c>
    </row>
    <row r="31" spans="1:6" x14ac:dyDescent="0.2">
      <c r="A31" s="106" t="s">
        <v>54</v>
      </c>
      <c r="B31" s="106"/>
      <c r="C31" s="72" t="s">
        <v>55</v>
      </c>
      <c r="D31" s="72" t="s">
        <v>56</v>
      </c>
      <c r="E31" s="72" t="s">
        <v>57</v>
      </c>
      <c r="F31" s="72" t="s">
        <v>53</v>
      </c>
    </row>
    <row r="32" spans="1:6" x14ac:dyDescent="0.2">
      <c r="A32" s="105" t="s">
        <v>201</v>
      </c>
      <c r="B32" s="105"/>
      <c r="C32" s="64">
        <v>1</v>
      </c>
      <c r="D32" s="64">
        <v>1.1000000000000001</v>
      </c>
      <c r="E32" s="64">
        <v>1.2</v>
      </c>
      <c r="F32" s="64">
        <v>1.5</v>
      </c>
    </row>
    <row r="33" spans="1:6" x14ac:dyDescent="0.2">
      <c r="A33" s="105" t="s">
        <v>12</v>
      </c>
      <c r="B33" s="105"/>
      <c r="C33" s="64">
        <v>1</v>
      </c>
      <c r="D33" s="64">
        <v>1.05</v>
      </c>
      <c r="E33" s="64">
        <v>1.1000000000000001</v>
      </c>
      <c r="F33" s="64">
        <v>1.2</v>
      </c>
    </row>
    <row r="34" spans="1:6" x14ac:dyDescent="0.2">
      <c r="A34" s="105" t="s">
        <v>58</v>
      </c>
      <c r="B34" s="105"/>
      <c r="C34" s="64">
        <v>1</v>
      </c>
      <c r="D34" s="64">
        <v>1.1000000000000001</v>
      </c>
      <c r="E34" s="64">
        <v>1.2</v>
      </c>
      <c r="F34" s="64">
        <v>1.5</v>
      </c>
    </row>
    <row r="35" spans="1:6" x14ac:dyDescent="0.2">
      <c r="A35" s="105" t="s">
        <v>59</v>
      </c>
      <c r="B35" s="105"/>
      <c r="C35" s="64">
        <v>1</v>
      </c>
      <c r="D35" s="64">
        <v>1.02</v>
      </c>
      <c r="E35" s="64">
        <v>1.05</v>
      </c>
      <c r="F35" s="64">
        <v>1.1000000000000001</v>
      </c>
    </row>
    <row r="36" spans="1:6" x14ac:dyDescent="0.2">
      <c r="A36" s="105" t="s">
        <v>60</v>
      </c>
      <c r="B36" s="105"/>
      <c r="C36" s="64">
        <v>1</v>
      </c>
      <c r="D36" s="64">
        <v>1.2</v>
      </c>
      <c r="E36" s="64">
        <v>1.5</v>
      </c>
      <c r="F36" s="64">
        <v>2</v>
      </c>
    </row>
    <row r="37" spans="1:6" x14ac:dyDescent="0.2">
      <c r="A37" s="67"/>
      <c r="B37" s="67"/>
    </row>
    <row r="38" spans="1:6" x14ac:dyDescent="0.2">
      <c r="A38" s="67"/>
      <c r="B38" s="67"/>
    </row>
    <row r="39" spans="1:6" ht="20.25" x14ac:dyDescent="0.3">
      <c r="A39" s="73" t="s">
        <v>183</v>
      </c>
      <c r="B39" s="68"/>
    </row>
    <row r="40" spans="1:6" x14ac:dyDescent="0.2">
      <c r="A40" s="105" t="s">
        <v>24</v>
      </c>
      <c r="B40" s="105"/>
      <c r="C40" s="64">
        <v>1.05</v>
      </c>
    </row>
    <row r="41" spans="1:6" x14ac:dyDescent="0.2">
      <c r="A41" s="105" t="s">
        <v>25</v>
      </c>
      <c r="B41" s="105"/>
      <c r="C41" s="64">
        <v>1.05</v>
      </c>
    </row>
    <row r="42" spans="1:6" x14ac:dyDescent="0.2">
      <c r="A42" s="105" t="s">
        <v>8</v>
      </c>
      <c r="B42" s="105"/>
      <c r="C42" s="64">
        <v>1.05</v>
      </c>
    </row>
    <row r="43" spans="1:6" x14ac:dyDescent="0.2">
      <c r="A43" s="105" t="s">
        <v>30</v>
      </c>
      <c r="B43" s="105"/>
      <c r="C43" s="64">
        <v>1.05</v>
      </c>
    </row>
    <row r="44" spans="1:6" x14ac:dyDescent="0.2">
      <c r="A44" s="105" t="s">
        <v>31</v>
      </c>
      <c r="B44" s="105"/>
      <c r="C44" s="64">
        <v>2</v>
      </c>
    </row>
    <row r="45" spans="1:6" x14ac:dyDescent="0.2">
      <c r="A45" s="105" t="s">
        <v>26</v>
      </c>
      <c r="B45" s="105"/>
      <c r="C45" s="64">
        <v>2</v>
      </c>
    </row>
    <row r="46" spans="1:6" x14ac:dyDescent="0.2">
      <c r="A46" s="105" t="s">
        <v>27</v>
      </c>
      <c r="B46" s="105"/>
      <c r="C46" s="64">
        <v>3</v>
      </c>
    </row>
    <row r="47" spans="1:6" x14ac:dyDescent="0.2">
      <c r="A47" s="105" t="s">
        <v>28</v>
      </c>
      <c r="B47" s="105"/>
      <c r="C47" s="64">
        <v>1.05</v>
      </c>
    </row>
    <row r="48" spans="1:6" x14ac:dyDescent="0.2">
      <c r="A48" s="105" t="s">
        <v>29</v>
      </c>
      <c r="B48" s="105"/>
      <c r="C48" s="64">
        <v>1.5</v>
      </c>
    </row>
  </sheetData>
  <mergeCells count="15">
    <mergeCell ref="A46:B46"/>
    <mergeCell ref="A47:B47"/>
    <mergeCell ref="A48:B48"/>
    <mergeCell ref="A40:B40"/>
    <mergeCell ref="A41:B41"/>
    <mergeCell ref="A42:B42"/>
    <mergeCell ref="A43:B43"/>
    <mergeCell ref="A44:B44"/>
    <mergeCell ref="A45:B45"/>
    <mergeCell ref="A36:B36"/>
    <mergeCell ref="A31:B31"/>
    <mergeCell ref="A32:B32"/>
    <mergeCell ref="A33:B33"/>
    <mergeCell ref="A34:B34"/>
    <mergeCell ref="A35:B35"/>
  </mergeCells>
  <dataValidations count="1">
    <dataValidation type="list" allowBlank="1" showInputMessage="1" showErrorMessage="1" sqref="B13:B17 B20:B25">
      <formula1>C$31:F$31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Q793"/>
  <sheetViews>
    <sheetView tabSelected="1" zoomScaleNormal="100" workbookViewId="0">
      <pane xSplit="1" ySplit="4" topLeftCell="B5" activePane="bottomRight" state="frozen"/>
      <selection pane="topRight" activeCell="B1" sqref="B1"/>
      <selection pane="bottomLeft" activeCell="A4" sqref="A4"/>
      <selection pane="bottomRight" activeCell="B17" sqref="B17"/>
    </sheetView>
  </sheetViews>
  <sheetFormatPr defaultRowHeight="12.75" x14ac:dyDescent="0.2"/>
  <cols>
    <col min="1" max="1" width="25" style="6" customWidth="1"/>
    <col min="2" max="2" width="37.7109375" style="6" customWidth="1"/>
    <col min="3" max="3" width="12" style="12" customWidth="1"/>
    <col min="4" max="6" width="12" style="6" customWidth="1"/>
    <col min="7" max="7" width="18.28515625" style="6" customWidth="1"/>
    <col min="8" max="13" width="10.140625" style="6" customWidth="1"/>
    <col min="14" max="15" width="10.140625" style="11" customWidth="1"/>
    <col min="16" max="16" width="15.28515625" style="52" customWidth="1"/>
    <col min="17" max="20" width="16.28515625" style="11" customWidth="1"/>
    <col min="21" max="22" width="20" style="11" customWidth="1"/>
    <col min="23" max="24" width="19.85546875" style="11" customWidth="1"/>
    <col min="25" max="25" width="10.28515625" style="17" customWidth="1"/>
    <col min="26" max="29" width="10.28515625" style="3" customWidth="1"/>
    <col min="30" max="34" width="10.28515625" style="58" customWidth="1"/>
    <col min="35" max="39" width="6.42578125" style="11" customWidth="1"/>
    <col min="40" max="45" width="6.42578125" style="3" customWidth="1"/>
    <col min="46" max="50" width="6.42578125" style="11" customWidth="1"/>
    <col min="51" max="56" width="6.42578125" style="3" customWidth="1"/>
    <col min="57" max="57" width="8.28515625" style="17" customWidth="1"/>
    <col min="58" max="58" width="15.85546875" style="79" customWidth="1"/>
    <col min="59" max="59" width="8.28515625" style="17" customWidth="1"/>
    <col min="60" max="60" width="19.5703125" style="79" customWidth="1"/>
    <col min="61" max="61" width="10.42578125" style="3" customWidth="1"/>
    <col min="62" max="62" width="20.140625" style="11" customWidth="1"/>
    <col min="63" max="65" width="2.5703125" style="3" customWidth="1"/>
    <col min="66" max="66" width="9.28515625" style="3" customWidth="1"/>
    <col min="67" max="69" width="2.5703125" style="3" customWidth="1"/>
    <col min="70" max="70" width="9.28515625" style="3" customWidth="1"/>
    <col min="71" max="73" width="2.5703125" style="3" customWidth="1"/>
    <col min="74" max="74" width="9.28515625" style="3" customWidth="1"/>
    <col min="75" max="77" width="2.5703125" style="3" customWidth="1"/>
    <col min="78" max="78" width="9.28515625" style="3" customWidth="1"/>
    <col min="79" max="81" width="2.5703125" style="3" customWidth="1"/>
    <col min="82" max="82" width="9.28515625" style="3" customWidth="1"/>
    <col min="83" max="83" width="3.42578125" style="44" customWidth="1"/>
    <col min="84" max="84" width="9.140625" style="2"/>
    <col min="85" max="85" width="14" style="2" bestFit="1" customWidth="1"/>
    <col min="86" max="86" width="10.42578125" style="2" bestFit="1" customWidth="1"/>
    <col min="87" max="87" width="11.42578125" style="2" bestFit="1" customWidth="1"/>
    <col min="88" max="88" width="10.42578125" style="2" bestFit="1" customWidth="1"/>
    <col min="89" max="89" width="9.28515625" style="2" customWidth="1"/>
    <col min="90" max="90" width="9.140625" style="2"/>
    <col min="91" max="94" width="11.7109375" style="2" bestFit="1" customWidth="1"/>
    <col min="95" max="95" width="9.28515625" style="2" customWidth="1"/>
    <col min="96" max="16384" width="9.140625" style="2"/>
  </cols>
  <sheetData>
    <row r="1" spans="1:95" ht="15.75" x14ac:dyDescent="0.25">
      <c r="A1" s="84" t="s">
        <v>203</v>
      </c>
      <c r="B1" s="85"/>
      <c r="C1" s="86"/>
      <c r="D1" s="85"/>
      <c r="E1" s="85"/>
      <c r="F1" s="85"/>
      <c r="G1" s="85"/>
      <c r="H1" s="85"/>
      <c r="I1" s="85"/>
      <c r="J1" s="85"/>
      <c r="K1" s="85"/>
      <c r="L1" s="85"/>
      <c r="M1" s="85"/>
      <c r="N1" s="87"/>
      <c r="O1" s="87"/>
      <c r="P1" s="88"/>
      <c r="Q1" s="87"/>
      <c r="R1" s="87"/>
      <c r="S1" s="87"/>
      <c r="T1" s="87"/>
      <c r="U1" s="87"/>
      <c r="V1" s="87"/>
      <c r="W1" s="87"/>
      <c r="X1" s="89"/>
      <c r="Y1" s="90"/>
      <c r="Z1" s="91"/>
      <c r="AA1" s="91"/>
      <c r="AB1" s="91"/>
      <c r="AC1" s="92"/>
      <c r="AD1" s="93"/>
      <c r="AE1" s="94"/>
      <c r="AF1" s="94"/>
      <c r="AG1" s="94"/>
      <c r="AH1" s="95"/>
      <c r="AI1" s="96"/>
      <c r="AJ1" s="87"/>
      <c r="AK1" s="87"/>
      <c r="AL1" s="87"/>
      <c r="AM1" s="87"/>
      <c r="AN1" s="91"/>
      <c r="AO1" s="91"/>
      <c r="AP1" s="91"/>
      <c r="AQ1" s="91"/>
      <c r="AR1" s="91"/>
      <c r="AS1" s="92"/>
      <c r="AT1" s="96"/>
      <c r="AU1" s="87"/>
      <c r="AV1" s="87"/>
      <c r="AW1" s="87"/>
      <c r="AX1" s="87"/>
      <c r="AY1" s="91"/>
      <c r="AZ1" s="91"/>
      <c r="BA1" s="91"/>
      <c r="BB1" s="91"/>
      <c r="BC1" s="91"/>
      <c r="BD1" s="92"/>
      <c r="BE1" s="90"/>
      <c r="BF1" s="97"/>
      <c r="BG1" s="98"/>
      <c r="BH1" s="97"/>
      <c r="BI1" s="91"/>
      <c r="BJ1" s="89"/>
      <c r="BK1" s="99"/>
      <c r="BL1" s="91"/>
      <c r="BM1" s="91"/>
      <c r="BN1" s="91"/>
      <c r="BO1" s="91"/>
      <c r="BP1" s="91"/>
      <c r="BQ1" s="91"/>
      <c r="BR1" s="91"/>
      <c r="BS1" s="91"/>
      <c r="BT1" s="91"/>
      <c r="BU1" s="91"/>
      <c r="BV1" s="91"/>
      <c r="BW1" s="91"/>
      <c r="BX1" s="91"/>
      <c r="BY1" s="91"/>
      <c r="BZ1" s="91"/>
      <c r="CA1" s="91"/>
      <c r="CB1" s="91"/>
      <c r="CC1" s="91"/>
      <c r="CD1" s="92"/>
      <c r="CE1" s="100"/>
      <c r="CF1" s="101"/>
      <c r="CG1" s="102"/>
      <c r="CH1" s="102"/>
      <c r="CI1" s="102"/>
      <c r="CJ1" s="102"/>
      <c r="CK1" s="102"/>
      <c r="CL1" s="102"/>
      <c r="CM1" s="102"/>
      <c r="CN1" s="102"/>
      <c r="CO1" s="102"/>
      <c r="CP1" s="102"/>
      <c r="CQ1" s="103"/>
    </row>
    <row r="2" spans="1:95" s="83" customFormat="1" ht="62.25" customHeight="1" x14ac:dyDescent="0.4">
      <c r="A2" s="116" t="s">
        <v>40</v>
      </c>
      <c r="B2" s="117"/>
      <c r="C2" s="117"/>
      <c r="D2" s="117"/>
      <c r="E2" s="117"/>
      <c r="F2" s="117"/>
      <c r="G2" s="117"/>
      <c r="H2" s="117"/>
      <c r="I2" s="117"/>
      <c r="J2" s="117"/>
      <c r="K2" s="117"/>
      <c r="L2" s="117"/>
      <c r="M2" s="117"/>
      <c r="N2" s="117"/>
      <c r="O2" s="117"/>
      <c r="P2" s="118"/>
      <c r="Q2" s="117"/>
      <c r="R2" s="117"/>
      <c r="S2" s="117"/>
      <c r="T2" s="117"/>
      <c r="U2" s="117"/>
      <c r="V2" s="117"/>
      <c r="W2" s="117"/>
      <c r="X2" s="118"/>
      <c r="Y2" s="128" t="s">
        <v>47</v>
      </c>
      <c r="Z2" s="129"/>
      <c r="AA2" s="129"/>
      <c r="AB2" s="129"/>
      <c r="AC2" s="130"/>
      <c r="AD2" s="107" t="s">
        <v>115</v>
      </c>
      <c r="AE2" s="108"/>
      <c r="AF2" s="108"/>
      <c r="AG2" s="108"/>
      <c r="AH2" s="109"/>
      <c r="AI2" s="110" t="s">
        <v>139</v>
      </c>
      <c r="AJ2" s="111"/>
      <c r="AK2" s="111"/>
      <c r="AL2" s="111"/>
      <c r="AM2" s="111"/>
      <c r="AN2" s="111"/>
      <c r="AO2" s="111"/>
      <c r="AP2" s="111"/>
      <c r="AQ2" s="111"/>
      <c r="AR2" s="111"/>
      <c r="AS2" s="112"/>
      <c r="AT2" s="110" t="s">
        <v>140</v>
      </c>
      <c r="AU2" s="111"/>
      <c r="AV2" s="111"/>
      <c r="AW2" s="111"/>
      <c r="AX2" s="111"/>
      <c r="AY2" s="111"/>
      <c r="AZ2" s="111"/>
      <c r="BA2" s="111"/>
      <c r="BB2" s="111"/>
      <c r="BC2" s="111"/>
      <c r="BD2" s="112"/>
      <c r="BE2" s="110" t="s">
        <v>87</v>
      </c>
      <c r="BF2" s="111"/>
      <c r="BG2" s="111"/>
      <c r="BH2" s="111"/>
      <c r="BI2" s="111"/>
      <c r="BJ2" s="112"/>
      <c r="BK2" s="110" t="s">
        <v>189</v>
      </c>
      <c r="BL2" s="111"/>
      <c r="BM2" s="111"/>
      <c r="BN2" s="111"/>
      <c r="BO2" s="111"/>
      <c r="BP2" s="111"/>
      <c r="BQ2" s="111"/>
      <c r="BR2" s="111"/>
      <c r="BS2" s="111"/>
      <c r="BT2" s="111"/>
      <c r="BU2" s="111"/>
      <c r="BV2" s="111"/>
      <c r="BW2" s="111"/>
      <c r="BX2" s="111"/>
      <c r="BY2" s="111"/>
      <c r="BZ2" s="111"/>
      <c r="CA2" s="111"/>
      <c r="CB2" s="111"/>
      <c r="CC2" s="111"/>
      <c r="CD2" s="112"/>
      <c r="CE2" s="82"/>
      <c r="CF2" s="110" t="s">
        <v>190</v>
      </c>
      <c r="CG2" s="111"/>
      <c r="CH2" s="111"/>
      <c r="CI2" s="111"/>
      <c r="CJ2" s="111"/>
      <c r="CK2" s="111"/>
      <c r="CL2" s="111"/>
      <c r="CM2" s="111"/>
      <c r="CN2" s="111"/>
      <c r="CO2" s="111"/>
      <c r="CP2" s="111"/>
      <c r="CQ2" s="112"/>
    </row>
    <row r="3" spans="1:95" s="5" customFormat="1" ht="140.25" customHeight="1" x14ac:dyDescent="0.2">
      <c r="A3" s="8" t="s">
        <v>41</v>
      </c>
      <c r="B3" s="13" t="s">
        <v>42</v>
      </c>
      <c r="C3" s="13" t="s">
        <v>204</v>
      </c>
      <c r="D3" s="13" t="s">
        <v>43</v>
      </c>
      <c r="E3" s="13" t="s">
        <v>44</v>
      </c>
      <c r="F3" s="8" t="s">
        <v>45</v>
      </c>
      <c r="G3" s="8" t="s">
        <v>46</v>
      </c>
      <c r="H3" s="113" t="s">
        <v>107</v>
      </c>
      <c r="I3" s="114"/>
      <c r="J3" s="114"/>
      <c r="K3" s="114"/>
      <c r="L3" s="114"/>
      <c r="M3" s="115"/>
      <c r="N3" s="8" t="s">
        <v>191</v>
      </c>
      <c r="O3" s="4" t="s">
        <v>193</v>
      </c>
      <c r="P3" s="4" t="s">
        <v>194</v>
      </c>
      <c r="Q3" s="8" t="s">
        <v>142</v>
      </c>
      <c r="R3" s="13" t="s">
        <v>205</v>
      </c>
      <c r="S3" s="13" t="s">
        <v>143</v>
      </c>
      <c r="T3" s="13" t="s">
        <v>144</v>
      </c>
      <c r="U3" s="113" t="s">
        <v>145</v>
      </c>
      <c r="V3" s="114"/>
      <c r="W3" s="114"/>
      <c r="X3" s="115"/>
      <c r="Y3" s="122" t="s">
        <v>146</v>
      </c>
      <c r="Z3" s="123"/>
      <c r="AA3" s="123"/>
      <c r="AB3" s="123"/>
      <c r="AC3" s="124"/>
      <c r="AD3" s="125" t="s">
        <v>197</v>
      </c>
      <c r="AE3" s="126"/>
      <c r="AF3" s="126"/>
      <c r="AG3" s="126"/>
      <c r="AH3" s="127"/>
      <c r="AI3" s="13" t="s">
        <v>48</v>
      </c>
      <c r="AJ3" s="13" t="s">
        <v>49</v>
      </c>
      <c r="AK3" s="13" t="s">
        <v>63</v>
      </c>
      <c r="AL3" s="13" t="s">
        <v>134</v>
      </c>
      <c r="AM3" s="13" t="s">
        <v>135</v>
      </c>
      <c r="AN3" s="119" t="s">
        <v>141</v>
      </c>
      <c r="AO3" s="120"/>
      <c r="AP3" s="120"/>
      <c r="AQ3" s="120"/>
      <c r="AR3" s="120"/>
      <c r="AS3" s="121"/>
      <c r="AT3" s="13" t="s">
        <v>61</v>
      </c>
      <c r="AU3" s="13" t="s">
        <v>62</v>
      </c>
      <c r="AV3" s="13" t="s">
        <v>138</v>
      </c>
      <c r="AW3" s="13" t="s">
        <v>136</v>
      </c>
      <c r="AX3" s="13" t="s">
        <v>137</v>
      </c>
      <c r="AY3" s="119" t="s">
        <v>149</v>
      </c>
      <c r="AZ3" s="120"/>
      <c r="BA3" s="120"/>
      <c r="BB3" s="120"/>
      <c r="BC3" s="120"/>
      <c r="BD3" s="121"/>
      <c r="BE3" s="113" t="s">
        <v>188</v>
      </c>
      <c r="BF3" s="114"/>
      <c r="BG3" s="114"/>
      <c r="BH3" s="114"/>
      <c r="BI3" s="114"/>
      <c r="BJ3" s="115"/>
      <c r="BK3" s="119" t="s">
        <v>170</v>
      </c>
      <c r="BL3" s="120"/>
      <c r="BM3" s="120"/>
      <c r="BN3" s="120"/>
      <c r="BO3" s="120"/>
      <c r="BP3" s="120"/>
      <c r="BQ3" s="120"/>
      <c r="BR3" s="120"/>
      <c r="BS3" s="120"/>
      <c r="BT3" s="120"/>
      <c r="BU3" s="120"/>
      <c r="BV3" s="120"/>
      <c r="BW3" s="120"/>
      <c r="BX3" s="120"/>
      <c r="BY3" s="120"/>
      <c r="BZ3" s="120"/>
      <c r="CA3" s="120"/>
      <c r="CB3" s="120"/>
      <c r="CC3" s="120"/>
      <c r="CD3" s="121"/>
      <c r="CE3" s="14"/>
      <c r="CF3" s="119" t="s">
        <v>206</v>
      </c>
      <c r="CG3" s="120"/>
      <c r="CH3" s="120"/>
      <c r="CI3" s="120"/>
      <c r="CJ3" s="120"/>
      <c r="CK3" s="121"/>
      <c r="CL3" s="119" t="s">
        <v>171</v>
      </c>
      <c r="CM3" s="120"/>
      <c r="CN3" s="120"/>
      <c r="CO3" s="120"/>
      <c r="CP3" s="120"/>
      <c r="CQ3" s="121"/>
    </row>
    <row r="4" spans="1:95" s="38" customFormat="1" ht="99" customHeight="1" x14ac:dyDescent="0.2">
      <c r="A4" s="30" t="s">
        <v>94</v>
      </c>
      <c r="B4" s="9" t="s">
        <v>88</v>
      </c>
      <c r="C4" s="10" t="s">
        <v>93</v>
      </c>
      <c r="D4" s="9" t="s">
        <v>90</v>
      </c>
      <c r="E4" s="9" t="s">
        <v>91</v>
      </c>
      <c r="F4" s="9" t="s">
        <v>4</v>
      </c>
      <c r="G4" s="9" t="s">
        <v>23</v>
      </c>
      <c r="H4" s="9" t="s">
        <v>108</v>
      </c>
      <c r="I4" s="9" t="s">
        <v>109</v>
      </c>
      <c r="J4" s="9" t="s">
        <v>110</v>
      </c>
      <c r="K4" s="9" t="s">
        <v>111</v>
      </c>
      <c r="L4" s="9" t="s">
        <v>112</v>
      </c>
      <c r="M4" s="9" t="s">
        <v>113</v>
      </c>
      <c r="N4" s="9" t="s">
        <v>114</v>
      </c>
      <c r="O4" s="9" t="s">
        <v>192</v>
      </c>
      <c r="P4" s="33" t="s">
        <v>106</v>
      </c>
      <c r="Q4" s="15" t="s">
        <v>96</v>
      </c>
      <c r="R4" s="15" t="s">
        <v>95</v>
      </c>
      <c r="S4" s="15" t="s">
        <v>89</v>
      </c>
      <c r="T4" s="15" t="s">
        <v>92</v>
      </c>
      <c r="U4" s="15" t="s">
        <v>97</v>
      </c>
      <c r="V4" s="15" t="s">
        <v>98</v>
      </c>
      <c r="W4" s="15" t="s">
        <v>99</v>
      </c>
      <c r="X4" s="15" t="s">
        <v>100</v>
      </c>
      <c r="Y4" s="34" t="s">
        <v>101</v>
      </c>
      <c r="Z4" s="15" t="s">
        <v>102</v>
      </c>
      <c r="AA4" s="15" t="s">
        <v>103</v>
      </c>
      <c r="AB4" s="15" t="s">
        <v>104</v>
      </c>
      <c r="AC4" s="15" t="s">
        <v>105</v>
      </c>
      <c r="AD4" s="47" t="s">
        <v>116</v>
      </c>
      <c r="AE4" s="47" t="s">
        <v>117</v>
      </c>
      <c r="AF4" s="47" t="s">
        <v>118</v>
      </c>
      <c r="AG4" s="47" t="s">
        <v>119</v>
      </c>
      <c r="AH4" s="47" t="s">
        <v>120</v>
      </c>
      <c r="AI4" s="15" t="s">
        <v>198</v>
      </c>
      <c r="AJ4" s="15" t="s">
        <v>124</v>
      </c>
      <c r="AK4" s="15" t="s">
        <v>121</v>
      </c>
      <c r="AL4" s="15" t="s">
        <v>122</v>
      </c>
      <c r="AM4" s="15" t="s">
        <v>123</v>
      </c>
      <c r="AN4" s="15" t="s">
        <v>129</v>
      </c>
      <c r="AO4" s="15" t="s">
        <v>199</v>
      </c>
      <c r="AP4" s="15" t="s">
        <v>130</v>
      </c>
      <c r="AQ4" s="15" t="s">
        <v>131</v>
      </c>
      <c r="AR4" s="15" t="s">
        <v>132</v>
      </c>
      <c r="AS4" s="15" t="s">
        <v>133</v>
      </c>
      <c r="AT4" s="15" t="s">
        <v>200</v>
      </c>
      <c r="AU4" s="15" t="s">
        <v>125</v>
      </c>
      <c r="AV4" s="15" t="s">
        <v>126</v>
      </c>
      <c r="AW4" s="15" t="s">
        <v>127</v>
      </c>
      <c r="AX4" s="15" t="s">
        <v>128</v>
      </c>
      <c r="AY4" s="15" t="s">
        <v>207</v>
      </c>
      <c r="AZ4" s="15" t="s">
        <v>208</v>
      </c>
      <c r="BA4" s="15" t="s">
        <v>209</v>
      </c>
      <c r="BB4" s="15" t="s">
        <v>210</v>
      </c>
      <c r="BC4" s="15" t="s">
        <v>211</v>
      </c>
      <c r="BD4" s="15" t="s">
        <v>212</v>
      </c>
      <c r="BE4" s="35" t="s">
        <v>32</v>
      </c>
      <c r="BF4" s="35" t="s">
        <v>33</v>
      </c>
      <c r="BG4" s="35" t="s">
        <v>34</v>
      </c>
      <c r="BH4" s="35" t="s">
        <v>147</v>
      </c>
      <c r="BI4" s="36" t="s">
        <v>148</v>
      </c>
      <c r="BJ4" s="36" t="s">
        <v>64</v>
      </c>
      <c r="BK4" s="37" t="s">
        <v>150</v>
      </c>
      <c r="BL4" s="37" t="s">
        <v>151</v>
      </c>
      <c r="BM4" s="37" t="s">
        <v>152</v>
      </c>
      <c r="BN4" s="37" t="s">
        <v>153</v>
      </c>
      <c r="BO4" s="37" t="s">
        <v>154</v>
      </c>
      <c r="BP4" s="37" t="s">
        <v>156</v>
      </c>
      <c r="BQ4" s="37" t="s">
        <v>155</v>
      </c>
      <c r="BR4" s="37" t="s">
        <v>157</v>
      </c>
      <c r="BS4" s="37" t="s">
        <v>158</v>
      </c>
      <c r="BT4" s="37" t="s">
        <v>159</v>
      </c>
      <c r="BU4" s="37" t="s">
        <v>160</v>
      </c>
      <c r="BV4" s="37" t="s">
        <v>161</v>
      </c>
      <c r="BW4" s="37" t="s">
        <v>162</v>
      </c>
      <c r="BX4" s="37" t="s">
        <v>163</v>
      </c>
      <c r="BY4" s="37" t="s">
        <v>164</v>
      </c>
      <c r="BZ4" s="37" t="s">
        <v>165</v>
      </c>
      <c r="CA4" s="37" t="s">
        <v>166</v>
      </c>
      <c r="CB4" s="37" t="s">
        <v>167</v>
      </c>
      <c r="CC4" s="37" t="s">
        <v>168</v>
      </c>
      <c r="CD4" s="37" t="s">
        <v>169</v>
      </c>
      <c r="CE4" s="39"/>
      <c r="CG4" s="38" t="str">
        <f>Info!$B$3</f>
        <v>Toner Cartridge</v>
      </c>
      <c r="CH4" s="38" t="str">
        <f>Info!$B$4</f>
        <v>Scenario 1</v>
      </c>
      <c r="CI4" s="38" t="str">
        <f>Info!$B$5</f>
        <v>Scenario 2</v>
      </c>
      <c r="CJ4" s="38" t="str">
        <f>Info!$B$6</f>
        <v>Scenario 3</v>
      </c>
      <c r="CK4" s="38" t="str">
        <f>Info!$B$7</f>
        <v>Scenario 4</v>
      </c>
      <c r="CM4" s="38" t="str">
        <f>Info!$B$3</f>
        <v>Toner Cartridge</v>
      </c>
      <c r="CN4" s="38" t="str">
        <f>Info!$B$4</f>
        <v>Scenario 1</v>
      </c>
      <c r="CO4" s="38" t="str">
        <f>Info!$B$5</f>
        <v>Scenario 2</v>
      </c>
      <c r="CP4" s="38" t="str">
        <f>Info!$B$6</f>
        <v>Scenario 3</v>
      </c>
      <c r="CQ4" s="38" t="str">
        <f>Info!$B$7</f>
        <v>Scenario 4</v>
      </c>
    </row>
    <row r="5" spans="1:95" s="24" customFormat="1" ht="22.5" customHeight="1" x14ac:dyDescent="0.2">
      <c r="A5" s="18" t="s">
        <v>172</v>
      </c>
      <c r="B5" s="31" t="s">
        <v>82</v>
      </c>
      <c r="C5" s="19" t="s">
        <v>6</v>
      </c>
      <c r="D5" s="20" t="s">
        <v>2</v>
      </c>
      <c r="E5" s="20">
        <v>2005</v>
      </c>
      <c r="F5" s="20" t="s">
        <v>3</v>
      </c>
      <c r="G5" s="20" t="s">
        <v>8</v>
      </c>
      <c r="H5" s="20">
        <v>0.8</v>
      </c>
      <c r="I5" s="20"/>
      <c r="J5" s="20"/>
      <c r="K5" s="20"/>
      <c r="L5" s="20"/>
      <c r="M5" s="20"/>
      <c r="N5" s="49">
        <v>3.7167656842187001E-2</v>
      </c>
      <c r="O5" s="50">
        <f>(SUM(Table13[[#This Row],[Methane emission factor]:[Unclassified gasses emission factor]]))/Table13[[#This Row],[GWP per unit]]</f>
        <v>4.4396909673247692E-2</v>
      </c>
      <c r="P5" s="50">
        <f>SUM(Table13[[#This Row],[CO2 emission factor]:[Unclassified gasses emission factor]])</f>
        <v>0.83716765684218708</v>
      </c>
      <c r="Q5" s="22">
        <v>30</v>
      </c>
      <c r="R5" s="22"/>
      <c r="S5" s="22"/>
      <c r="T5" s="22"/>
      <c r="U5" s="22">
        <v>33</v>
      </c>
      <c r="V5" s="22">
        <v>27</v>
      </c>
      <c r="W5" s="20">
        <v>36</v>
      </c>
      <c r="X5" s="20">
        <v>24</v>
      </c>
      <c r="Y5" s="53">
        <f>IFERROR(Table13[[#This Row],[Baseline Activity]]*Table13[[#This Row],[GWP per unit]],0)</f>
        <v>25.115029705265613</v>
      </c>
      <c r="Z5" s="21">
        <f>IFERROR(Table13[[#This Row],[Scenario 2 Activity]]*Table13[[#This Row],[GWP per unit]],0)</f>
        <v>27.626532675792173</v>
      </c>
      <c r="AA5" s="21">
        <f>IFERROR(Table13[[#This Row],[Scenario 3 Activity]]*Table13[[#This Row],[GWP per unit]],0)</f>
        <v>22.603526734739052</v>
      </c>
      <c r="AB5" s="21">
        <f>IFERROR(Table13[[#This Row],[Scenario 4 Activity]]*Table13[[#This Row],[GWP per unit]],0)</f>
        <v>30.138035646318734</v>
      </c>
      <c r="AC5" s="21">
        <f>IFERROR(Table13[[#This Row],[Scenario 5 Activity]]*Table13[[#This Row],[GWP per unit]],0)</f>
        <v>20.092023764212492</v>
      </c>
      <c r="AD5" s="54">
        <f>IF(Table13[Baseline GHG Total]="",0,Table13[Baseline GHG Total]/SUM(Table13[Baseline GHG Total]:Table13[Baseline GHG Total]))</f>
        <v>0.16146033951765396</v>
      </c>
      <c r="AE5" s="54">
        <f>IF(Table13[Scenario 2 GHG Total]="",0,Table13[Scenario 2 GHG Total]/SUM(Table13[Scenario 2 GHG Total]:Table13[Scenario 2 GHG Total]))</f>
        <v>0.1614603395176539</v>
      </c>
      <c r="AF5" s="54">
        <f>IF(Table13[Scenario 3 GHG Total]="",0,Table13[Scenario 3 GHG Total]/SUM(Table13[Scenario 3 GHG Total]:Table13[Scenario 3 GHG Total]))</f>
        <v>0.16146033951765396</v>
      </c>
      <c r="AG5" s="54">
        <f>IF(Table13[Scenario 4 GHG Total]="",0,Table13[Scenario 4 GHG Total]/SUM(Table13[Scenario 4 GHG Total]:Table13[Scenario 4 GHG Total]))</f>
        <v>0.16146033951765396</v>
      </c>
      <c r="AH5" s="54">
        <f>IF(Table13[Scenario 5 GHG Total]="",0,Table13[Scenario 5 GHG Total]/SUM(Table13[Scenario 5 GHG Total]:Table13[Scenario 5 GHG Total]))</f>
        <v>0.16146033951765398</v>
      </c>
      <c r="AI5" s="20" t="s">
        <v>57</v>
      </c>
      <c r="AJ5" s="20" t="str">
        <f>Info!$B$14</f>
        <v>Poor</v>
      </c>
      <c r="AK5" s="20" t="s">
        <v>56</v>
      </c>
      <c r="AL5" s="20" t="str">
        <f>Info!$B$16</f>
        <v>Poor</v>
      </c>
      <c r="AM5" s="20" t="s">
        <v>57</v>
      </c>
      <c r="AN5" s="21">
        <f>VLOOKUP($G5,Info!$A$40:$C$48,3,FALSE)</f>
        <v>1.05</v>
      </c>
      <c r="AO5" s="21">
        <f>HLOOKUP(Calculations!AI5,Info!$C$31:$F$36,2,FALSE)</f>
        <v>1.2</v>
      </c>
      <c r="AP5" s="21">
        <f>HLOOKUP(Calculations!AJ5,Info!$C$31:$F$36,3,FALSE)</f>
        <v>1.2</v>
      </c>
      <c r="AQ5" s="21">
        <f>HLOOKUP(Calculations!AK5,Info!$C$31:$F$36,4,FALSE)</f>
        <v>1.1000000000000001</v>
      </c>
      <c r="AR5" s="21">
        <f>HLOOKUP(Calculations!AL5,Info!$C$31:$F$36,5,FALSE)</f>
        <v>1.1000000000000001</v>
      </c>
      <c r="AS5" s="21">
        <f>HLOOKUP(Calculations!AM5,Info!$C$31:$F$36,6,FALSE)</f>
        <v>1.5</v>
      </c>
      <c r="AT5" s="20" t="s">
        <v>57</v>
      </c>
      <c r="AU5" s="20" t="s">
        <v>56</v>
      </c>
      <c r="AV5" s="20" t="str">
        <f>Info!$B$22</f>
        <v>Poor</v>
      </c>
      <c r="AW5" s="20" t="s">
        <v>57</v>
      </c>
      <c r="AX5" s="20" t="s">
        <v>57</v>
      </c>
      <c r="AY5" s="21">
        <f>VLOOKUP($G5,Info!$A$40:$C$48,3,FALSE)</f>
        <v>1.05</v>
      </c>
      <c r="AZ5" s="21">
        <f>HLOOKUP(Calculations!AT5,Info!$C$31:$F$36,2,FALSE)</f>
        <v>1.2</v>
      </c>
      <c r="BA5" s="21">
        <f>HLOOKUP(Calculations!AU5,Info!$C$31:$F$36,3,FALSE)</f>
        <v>1.05</v>
      </c>
      <c r="BB5" s="21">
        <f>HLOOKUP(Calculations!AV5,Info!$C$31:$F$36,4,FALSE)</f>
        <v>1.5</v>
      </c>
      <c r="BC5" s="21">
        <f>HLOOKUP(Calculations!AW5,Info!$C$31:$F$36,5,FALSE)</f>
        <v>1.05</v>
      </c>
      <c r="BD5" s="21">
        <f>HLOOKUP(Calculations!AX5,Info!$C$31:$F$36,6,FALSE)</f>
        <v>1.5</v>
      </c>
      <c r="BE5" s="55">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1.651081863442978</v>
      </c>
      <c r="BF5" s="76">
        <f>BE5^0.5</f>
        <v>1.2849443036345887</v>
      </c>
      <c r="BG5" s="55">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1.8360328619836981</v>
      </c>
      <c r="BH5" s="76">
        <f t="shared" ref="BH5:BH19" si="0">BG5^0.5</f>
        <v>1.3550029010978899</v>
      </c>
      <c r="BI5" s="55">
        <f>EXP(((Table13[[#This Row],[% GWP from other gases]]^2)*(LN(Info!$B$27))^2)^0.5)</f>
        <v>1.0134128727181093</v>
      </c>
      <c r="BJ5" s="76">
        <f>Table13[[#This Row],[GWP GSD2]]^0.5</f>
        <v>1.0066840977775051</v>
      </c>
      <c r="BK5" s="55">
        <f>(Table13[[#This Row],[Percent contribution to Baseline inventory]]^2)*((LN(Table13[[#This Row],[Emission Factor GSD]]))^2)</f>
        <v>2.4061214302058061E-3</v>
      </c>
      <c r="BL5" s="55">
        <f>(Table13[[#This Row],[Percent contribution to Baseline inventory]]^2)*((LN(Table13[[#This Row],[Activity Data GSD]]))^2)</f>
        <v>1.6386781179678026E-3</v>
      </c>
      <c r="BM5" s="55">
        <f>(Table13[[#This Row],[Percent contribution to Baseline inventory]]^2)*((LN(Table13[[#This Row],[GWP GSD]]))^2)</f>
        <v>1.1569710628430707E-6</v>
      </c>
      <c r="BN5" s="55">
        <f>SUM(Table13[[#This Row],[Baseline Emission Factor Uncertainty Component]:[Baseline GWP Uncertainty Component]])</f>
        <v>4.0459565192364523E-3</v>
      </c>
      <c r="BO5" s="55">
        <f>(Table13[[#This Row],[Percent contribution to Scenario 2 inventory]]^2)*((LN(Table13[[#This Row],[Emission Factor GSD]]))^2)</f>
        <v>2.4061214302058044E-3</v>
      </c>
      <c r="BP5" s="55">
        <f>(Table13[[#This Row],[Percent contribution to Scenario 2 inventory]]^2)*((LN(Table13[[#This Row],[Activity Data GSD]]))^2)</f>
        <v>1.6386781179678015E-3</v>
      </c>
      <c r="BQ5" s="55">
        <f>(Table13[[#This Row],[Percent contribution to Scenario 2 inventory]]^2)*((LN(Table13[[#This Row],[GWP GSD]]))^2)</f>
        <v>1.1569710628430698E-6</v>
      </c>
      <c r="BR5" s="55">
        <f>SUM(Table13[[#This Row],[Scenario 2 Emission Factor Uncertainty Component]:[Scenario 2 GWP Uncertainty Component]])</f>
        <v>4.0459565192364488E-3</v>
      </c>
      <c r="BS5" s="55">
        <f>(Table13[[#This Row],[Percent contribution to Scenario 3 inventory]]^2)*((LN(Table13[[#This Row],[Emission Factor GSD]]))^2)</f>
        <v>2.4061214302058061E-3</v>
      </c>
      <c r="BT5" s="55">
        <f>(Table13[[#This Row],[Percent contribution to Scenario 3 inventory]]^2)*((LN(Table13[[#This Row],[Activity Data GSD]]))^2)</f>
        <v>1.6386781179678026E-3</v>
      </c>
      <c r="BU5" s="55">
        <f>(Table13[[#This Row],[Percent contribution to Scenario 3 inventory]]^2)*((LN(Table13[[#This Row],[GWP GSD]]))^2)</f>
        <v>1.1569710628430707E-6</v>
      </c>
      <c r="BV5" s="55">
        <f>SUM(Table13[[#This Row],[Scenario 3 Emission Factor Uncertainty Component]:[Scenario 3 GWP Uncertainty Component]])</f>
        <v>4.0459565192364523E-3</v>
      </c>
      <c r="BW5" s="55">
        <f>(Table13[[#This Row],[Percent contribution to Scenario 4 inventory]]^2)*((LN(Table13[[#This Row],[Emission Factor GSD]]))^2)</f>
        <v>2.4061214302058061E-3</v>
      </c>
      <c r="BX5" s="55">
        <f>(Table13[[#This Row],[Percent contribution to Scenario 4 inventory]]^2)*((LN(Table13[[#This Row],[Activity Data GSD]]))^2)</f>
        <v>1.6386781179678026E-3</v>
      </c>
      <c r="BY5" s="55">
        <f>(Table13[[#This Row],[Percent contribution to Scenario 4 inventory]]^2)*((LN(Table13[[#This Row],[GWP GSD]]))^2)</f>
        <v>1.1569710628430707E-6</v>
      </c>
      <c r="BZ5" s="55">
        <f>SUM(Table13[[#This Row],[Scenario 4 Emission Factor Uncertainty Component]:[Scenario 4 GWP Uncertainty Component]])</f>
        <v>4.0459565192364523E-3</v>
      </c>
      <c r="CA5" s="55">
        <f>(Table13[[#This Row],[Percent contribution to Scenario 5 inventory]]^2)*((LN(Table13[[#This Row],[Emission Factor GSD]]))^2)</f>
        <v>2.406121430205807E-3</v>
      </c>
      <c r="CB5" s="55">
        <f>(Table13[[#This Row],[Percent contribution to Scenario 5 inventory]]^2)*((LN(Table13[[#This Row],[Activity Data GSD]]))^2)</f>
        <v>1.6386781179678032E-3</v>
      </c>
      <c r="CC5" s="55">
        <f>(Table13[[#This Row],[Percent contribution to Scenario 5 inventory]]^2)*((LN(Table13[[#This Row],[GWP GSD]]))^2)</f>
        <v>1.1569710628430709E-6</v>
      </c>
      <c r="CD5" s="55">
        <f>SUM(Table13[[#This Row],[Scenario 5 Emission Factor Uncertainty Component]:[Scenario 5 GWP Uncertainty Component]])</f>
        <v>4.045956519236454E-3</v>
      </c>
      <c r="CE5" s="40"/>
      <c r="CF5" s="45" t="s">
        <v>84</v>
      </c>
      <c r="CG5" s="80">
        <f>SUM(Table13[Contribution to Total Baseline Uncertainty])</f>
        <v>5.5818208444903372E-2</v>
      </c>
      <c r="CH5" s="80">
        <f>SUM(Table13[Contribution to Total Scenario 2 Uncertainty])</f>
        <v>5.5818208444903372E-2</v>
      </c>
      <c r="CI5" s="80">
        <f>SUM(Table13[Contribution to Total Scenario 3 Uncertainty])</f>
        <v>5.5818208444903372E-2</v>
      </c>
      <c r="CJ5" s="80">
        <f>SUM(Table13[Contribution to Total Scenario 4 Uncertainty])</f>
        <v>5.5818208444903372E-2</v>
      </c>
      <c r="CK5" s="80">
        <f>SUM(Table13[Contribution to Total Scenario 5 Uncertainty])</f>
        <v>5.5818208444903393E-2</v>
      </c>
      <c r="CL5" s="46" t="s">
        <v>15</v>
      </c>
      <c r="CM5" s="81">
        <f>SUM(Table13[Baseline GHG Total])</f>
        <v>155.54921896172252</v>
      </c>
      <c r="CN5" s="81">
        <f>SUM(Table13[Scenario 2 GHG Total])</f>
        <v>171.10414085789481</v>
      </c>
      <c r="CO5" s="81">
        <f>SUM(Table13[Scenario 3 GHG Total])</f>
        <v>139.99429706555026</v>
      </c>
      <c r="CP5" s="81">
        <f>SUM(Table13[Scenario 4 GHG Total])</f>
        <v>186.65906275406701</v>
      </c>
      <c r="CQ5" s="81">
        <f>SUM(Table13[Scenario 5 GHG Total])</f>
        <v>124.439375169378</v>
      </c>
    </row>
    <row r="6" spans="1:95" s="24" customFormat="1" ht="22.5" customHeight="1" x14ac:dyDescent="0.2">
      <c r="A6" s="18" t="s">
        <v>173</v>
      </c>
      <c r="B6" s="31" t="s">
        <v>82</v>
      </c>
      <c r="C6" s="19" t="s">
        <v>6</v>
      </c>
      <c r="D6" s="20" t="s">
        <v>2</v>
      </c>
      <c r="E6" s="20">
        <v>2005</v>
      </c>
      <c r="F6" s="20" t="s">
        <v>3</v>
      </c>
      <c r="G6" s="20" t="s">
        <v>8</v>
      </c>
      <c r="H6" s="20">
        <v>0.8</v>
      </c>
      <c r="I6" s="20"/>
      <c r="J6" s="20"/>
      <c r="K6" s="20"/>
      <c r="L6" s="20"/>
      <c r="M6" s="20"/>
      <c r="N6" s="49">
        <v>3.7167656842187001E-2</v>
      </c>
      <c r="O6" s="50">
        <f>(SUM(Table13[[#This Row],[Methane emission factor]:[Unclassified gasses emission factor]]))/Table13[[#This Row],[GWP per unit]]</f>
        <v>4.4396909673247692E-2</v>
      </c>
      <c r="P6" s="50">
        <f>SUM(Table13[[#This Row],[CO2 emission factor]:[Unclassified gasses emission factor]])</f>
        <v>0.83716765684218708</v>
      </c>
      <c r="Q6" s="25">
        <v>10</v>
      </c>
      <c r="R6" s="25"/>
      <c r="S6" s="25"/>
      <c r="T6" s="25"/>
      <c r="U6" s="22">
        <v>11</v>
      </c>
      <c r="V6" s="22">
        <v>9</v>
      </c>
      <c r="W6" s="20">
        <v>12</v>
      </c>
      <c r="X6" s="20">
        <v>8</v>
      </c>
      <c r="Y6" s="53">
        <f>IFERROR(Table13[[#This Row],[Baseline Activity]]*Table13[[#This Row],[GWP per unit]],0)</f>
        <v>8.3716765684218704</v>
      </c>
      <c r="Z6" s="21">
        <f>IFERROR(Table13[[#This Row],[Scenario 2 Activity]]*Table13[[#This Row],[GWP per unit]],0)</f>
        <v>9.2088442252640572</v>
      </c>
      <c r="AA6" s="21">
        <f>IFERROR(Table13[[#This Row],[Scenario 3 Activity]]*Table13[[#This Row],[GWP per unit]],0)</f>
        <v>7.5345089115796835</v>
      </c>
      <c r="AB6" s="21">
        <f>IFERROR(Table13[[#This Row],[Scenario 4 Activity]]*Table13[[#This Row],[GWP per unit]],0)</f>
        <v>10.046011882106246</v>
      </c>
      <c r="AC6" s="21">
        <f>IFERROR(Table13[[#This Row],[Scenario 5 Activity]]*Table13[[#This Row],[GWP per unit]],0)</f>
        <v>6.6973412547374966</v>
      </c>
      <c r="AD6" s="54">
        <f>IF(Table13[Baseline GHG Total]="",0,Table13[Baseline GHG Total]/SUM(Table13[Baseline GHG Total]:Table13[Baseline GHG Total]))</f>
        <v>5.3820113172551309E-2</v>
      </c>
      <c r="AE6" s="54">
        <f>IF(Table13[Scenario 2 GHG Total]="",0,Table13[Scenario 2 GHG Total]/SUM(Table13[Scenario 2 GHG Total]:Table13[Scenario 2 GHG Total]))</f>
        <v>5.3820113172551302E-2</v>
      </c>
      <c r="AF6" s="54">
        <f>IF(Table13[Scenario 3 GHG Total]="",0,Table13[Scenario 3 GHG Total]/SUM(Table13[Scenario 3 GHG Total]:Table13[Scenario 3 GHG Total]))</f>
        <v>5.3820113172551316E-2</v>
      </c>
      <c r="AG6" s="54">
        <f>IF(Table13[Scenario 4 GHG Total]="",0,Table13[Scenario 4 GHG Total]/SUM(Table13[Scenario 4 GHG Total]:Table13[Scenario 4 GHG Total]))</f>
        <v>5.3820113172551323E-2</v>
      </c>
      <c r="AH6" s="54">
        <f>IF(Table13[Scenario 5 GHG Total]="",0,Table13[Scenario 5 GHG Total]/SUM(Table13[Scenario 5 GHG Total]:Table13[Scenario 5 GHG Total]))</f>
        <v>5.3820113172551323E-2</v>
      </c>
      <c r="AI6" s="20" t="str">
        <f>Info!$B$13</f>
        <v>Poor</v>
      </c>
      <c r="AJ6" s="20" t="str">
        <f>Info!$B$14</f>
        <v>Poor</v>
      </c>
      <c r="AK6" s="20" t="s">
        <v>56</v>
      </c>
      <c r="AL6" s="20" t="s">
        <v>57</v>
      </c>
      <c r="AM6" s="20" t="s">
        <v>55</v>
      </c>
      <c r="AN6" s="21">
        <f>VLOOKUP($G6,Info!$A$40:$C$48,3,FALSE)</f>
        <v>1.05</v>
      </c>
      <c r="AO6" s="21">
        <f>HLOOKUP(Calculations!AI6,Info!$C$31:$F$36,2,FALSE)</f>
        <v>1.5</v>
      </c>
      <c r="AP6" s="21">
        <f>HLOOKUP(Calculations!AJ6,Info!$C$31:$F$36,3,FALSE)</f>
        <v>1.2</v>
      </c>
      <c r="AQ6" s="21">
        <f>HLOOKUP(Calculations!AK6,Info!$C$31:$F$36,4,FALSE)</f>
        <v>1.1000000000000001</v>
      </c>
      <c r="AR6" s="21">
        <f>HLOOKUP(Calculations!AL6,Info!$C$31:$F$36,5,FALSE)</f>
        <v>1.05</v>
      </c>
      <c r="AS6" s="21">
        <f>HLOOKUP(Calculations!AM6,Info!$C$31:$F$36,6,FALSE)</f>
        <v>1</v>
      </c>
      <c r="AT6" s="20" t="s">
        <v>57</v>
      </c>
      <c r="AU6" s="20" t="s">
        <v>57</v>
      </c>
      <c r="AV6" s="20" t="str">
        <f>Info!$B$22</f>
        <v>Poor</v>
      </c>
      <c r="AW6" s="20" t="s">
        <v>57</v>
      </c>
      <c r="AX6" s="20" t="s">
        <v>57</v>
      </c>
      <c r="AY6" s="21">
        <f>VLOOKUP($G6,Info!$A$40:$C$48,3,FALSE)</f>
        <v>1.05</v>
      </c>
      <c r="AZ6" s="21">
        <f>HLOOKUP(Calculations!AT6,Info!$C$31:$F$36,2,FALSE)</f>
        <v>1.2</v>
      </c>
      <c r="BA6" s="21">
        <f>HLOOKUP(Calculations!AU6,Info!$C$31:$F$36,3,FALSE)</f>
        <v>1.1000000000000001</v>
      </c>
      <c r="BB6" s="21">
        <f>HLOOKUP(Calculations!AV6,Info!$C$31:$F$36,4,FALSE)</f>
        <v>1.5</v>
      </c>
      <c r="BC6" s="21">
        <f>HLOOKUP(Calculations!AW6,Info!$C$31:$F$36,5,FALSE)</f>
        <v>1.05</v>
      </c>
      <c r="BD6" s="21">
        <f>HLOOKUP(Calculations!AX6,Info!$C$31:$F$36,6,FALSE)</f>
        <v>1.5</v>
      </c>
      <c r="BE6"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1.5838812902917221</v>
      </c>
      <c r="BF6" s="77">
        <f t="shared" ref="BF6:BF19" si="1">BE6^0.5</f>
        <v>1.2585234563931347</v>
      </c>
      <c r="BG6"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1.8461432375249669</v>
      </c>
      <c r="BH6" s="77">
        <f t="shared" si="0"/>
        <v>1.3587285370981825</v>
      </c>
      <c r="BI6" s="56">
        <f>EXP(((Table13[[#This Row],[% GWP from other gases]]^2)*(LN(Info!$B$27))^2)^0.5)</f>
        <v>1.0134128727181093</v>
      </c>
      <c r="BJ6" s="77">
        <f>Table13[[#This Row],[GWP GSD2]]^0.5</f>
        <v>1.0066840977775051</v>
      </c>
      <c r="BK6" s="56">
        <f>(Table13[[#This Row],[Percent contribution to Baseline inventory]]^2)*((LN(Table13[[#This Row],[Emission Factor GSD]]))^2)</f>
        <v>2.7220120917408926E-4</v>
      </c>
      <c r="BL6" s="56">
        <f>(Table13[[#This Row],[Percent contribution to Baseline inventory]]^2)*((LN(Table13[[#This Row],[Activity Data GSD]]))^2)</f>
        <v>1.5314934594376928E-4</v>
      </c>
      <c r="BM6" s="56">
        <f>(Table13[[#This Row],[Percent contribution to Baseline inventory]]^2)*((LN(Table13[[#This Row],[GWP GSD]]))^2)</f>
        <v>1.2855234031589669E-7</v>
      </c>
      <c r="BN6" s="56">
        <f>SUM(Table13[[#This Row],[Baseline Emission Factor Uncertainty Component]:[Baseline GWP Uncertainty Component]])</f>
        <v>4.2547910745817445E-4</v>
      </c>
      <c r="BO6" s="56">
        <f>(Table13[[#This Row],[Percent contribution to Scenario 2 inventory]]^2)*((LN(Table13[[#This Row],[Emission Factor GSD]]))^2)</f>
        <v>2.7220120917408926E-4</v>
      </c>
      <c r="BP6" s="56">
        <f>(Table13[[#This Row],[Percent contribution to Scenario 2 inventory]]^2)*((LN(Table13[[#This Row],[Activity Data GSD]]))^2)</f>
        <v>1.5314934594376926E-4</v>
      </c>
      <c r="BQ6" s="56">
        <f>(Table13[[#This Row],[Percent contribution to Scenario 2 inventory]]^2)*((LN(Table13[[#This Row],[GWP GSD]]))^2)</f>
        <v>1.2855234031589666E-7</v>
      </c>
      <c r="BR6" s="56">
        <f>SUM(Table13[[#This Row],[Scenario 2 Emission Factor Uncertainty Component]:[Scenario 2 GWP Uncertainty Component]])</f>
        <v>4.2547910745817439E-4</v>
      </c>
      <c r="BS6" s="56">
        <f>(Table13[[#This Row],[Percent contribution to Scenario 3 inventory]]^2)*((LN(Table13[[#This Row],[Emission Factor GSD]]))^2)</f>
        <v>2.7220120917408936E-4</v>
      </c>
      <c r="BT6" s="56">
        <f>(Table13[[#This Row],[Percent contribution to Scenario 3 inventory]]^2)*((LN(Table13[[#This Row],[Activity Data GSD]]))^2)</f>
        <v>1.5314934594376934E-4</v>
      </c>
      <c r="BU6" s="56">
        <f>(Table13[[#This Row],[Percent contribution to Scenario 3 inventory]]^2)*((LN(Table13[[#This Row],[GWP GSD]]))^2)</f>
        <v>1.2855234031589672E-7</v>
      </c>
      <c r="BV6" s="56">
        <f>SUM(Table13[[#This Row],[Scenario 3 Emission Factor Uncertainty Component]:[Scenario 3 GWP Uncertainty Component]])</f>
        <v>4.2547910745817461E-4</v>
      </c>
      <c r="BW6" s="56">
        <f>(Table13[[#This Row],[Percent contribution to Scenario 4 inventory]]^2)*((LN(Table13[[#This Row],[Emission Factor GSD]]))^2)</f>
        <v>2.7220120917408942E-4</v>
      </c>
      <c r="BX6" s="56">
        <f>(Table13[[#This Row],[Percent contribution to Scenario 4 inventory]]^2)*((LN(Table13[[#This Row],[Activity Data GSD]]))^2)</f>
        <v>1.5314934594376937E-4</v>
      </c>
      <c r="BY6" s="56">
        <f>(Table13[[#This Row],[Percent contribution to Scenario 4 inventory]]^2)*((LN(Table13[[#This Row],[GWP GSD]]))^2)</f>
        <v>1.2855234031589677E-7</v>
      </c>
      <c r="BZ6" s="56">
        <f>SUM(Table13[[#This Row],[Scenario 4 Emission Factor Uncertainty Component]:[Scenario 4 GWP Uncertainty Component]])</f>
        <v>4.2547910745817472E-4</v>
      </c>
      <c r="CA6" s="56">
        <f>(Table13[[#This Row],[Percent contribution to Scenario 5 inventory]]^2)*((LN(Table13[[#This Row],[Emission Factor GSD]]))^2)</f>
        <v>2.7220120917408942E-4</v>
      </c>
      <c r="CB6" s="56">
        <f>(Table13[[#This Row],[Percent contribution to Scenario 5 inventory]]^2)*((LN(Table13[[#This Row],[Activity Data GSD]]))^2)</f>
        <v>1.5314934594376937E-4</v>
      </c>
      <c r="CC6" s="56">
        <f>(Table13[[#This Row],[Percent contribution to Scenario 5 inventory]]^2)*((LN(Table13[[#This Row],[GWP GSD]]))^2)</f>
        <v>1.2855234031589677E-7</v>
      </c>
      <c r="CD6" s="56">
        <f>SUM(Table13[[#This Row],[Scenario 5 Emission Factor Uncertainty Component]:[Scenario 5 GWP Uncertainty Component]])</f>
        <v>4.2547910745817472E-4</v>
      </c>
      <c r="CE6" s="41"/>
      <c r="CF6" s="46" t="s">
        <v>14</v>
      </c>
      <c r="CG6" s="80">
        <f>EXP(CG5^0.5)</f>
        <v>1.2665020059653902</v>
      </c>
      <c r="CH6" s="80">
        <f>EXP(CH5^0.5)</f>
        <v>1.2665020059653902</v>
      </c>
      <c r="CI6" s="80">
        <f>EXP(CI5^0.5)</f>
        <v>1.2665020059653902</v>
      </c>
      <c r="CJ6" s="80">
        <f>EXP(CJ5^0.5)</f>
        <v>1.2665020059653902</v>
      </c>
      <c r="CK6" s="80">
        <f>EXP(CK5^0.5)</f>
        <v>1.2665020059653902</v>
      </c>
      <c r="CL6" s="46" t="s">
        <v>16</v>
      </c>
      <c r="CM6" s="80">
        <f>CM5/CG7</f>
        <v>96.974169918699971</v>
      </c>
      <c r="CN6" s="80">
        <f>CN5/CH7</f>
        <v>106.67158691057</v>
      </c>
      <c r="CO6" s="80">
        <f>CO5/CI7</f>
        <v>87.276752926829971</v>
      </c>
      <c r="CP6" s="80">
        <f>CP5/CJ7</f>
        <v>116.36900390243996</v>
      </c>
      <c r="CQ6" s="80">
        <f>CQ5/CK7</f>
        <v>77.579335934959971</v>
      </c>
    </row>
    <row r="7" spans="1:95" s="24" customFormat="1" ht="22.5" customHeight="1" x14ac:dyDescent="0.2">
      <c r="A7" s="18" t="s">
        <v>174</v>
      </c>
      <c r="B7" s="31" t="s">
        <v>82</v>
      </c>
      <c r="C7" s="19" t="s">
        <v>6</v>
      </c>
      <c r="D7" s="20" t="s">
        <v>2</v>
      </c>
      <c r="E7" s="20">
        <v>2005</v>
      </c>
      <c r="F7" s="20" t="s">
        <v>3</v>
      </c>
      <c r="G7" s="20" t="s">
        <v>8</v>
      </c>
      <c r="H7" s="20">
        <v>0.8</v>
      </c>
      <c r="I7" s="20"/>
      <c r="J7" s="20"/>
      <c r="K7" s="20"/>
      <c r="L7" s="20"/>
      <c r="M7" s="20"/>
      <c r="N7" s="49">
        <v>3.7167656842187001E-2</v>
      </c>
      <c r="O7" s="50">
        <f>(SUM(Table13[[#This Row],[Methane emission factor]:[Unclassified gasses emission factor]]))/Table13[[#This Row],[GWP per unit]]</f>
        <v>4.4396909673247692E-2</v>
      </c>
      <c r="P7" s="50">
        <f>SUM(Table13[[#This Row],[CO2 emission factor]:[Unclassified gasses emission factor]])</f>
        <v>0.83716765684218708</v>
      </c>
      <c r="Q7" s="25">
        <v>63</v>
      </c>
      <c r="R7" s="25"/>
      <c r="S7" s="25"/>
      <c r="T7" s="25"/>
      <c r="U7" s="22">
        <v>69.300000000000011</v>
      </c>
      <c r="V7" s="22">
        <v>56.7</v>
      </c>
      <c r="W7" s="20">
        <v>75.599999999999994</v>
      </c>
      <c r="X7" s="20">
        <v>50.400000000000006</v>
      </c>
      <c r="Y7" s="53">
        <f>IFERROR(Table13[[#This Row],[Baseline Activity]]*Table13[[#This Row],[GWP per unit]],0)</f>
        <v>52.741562381057783</v>
      </c>
      <c r="Z7" s="21">
        <f>IFERROR(Table13[[#This Row],[Scenario 2 Activity]]*Table13[[#This Row],[GWP per unit]],0)</f>
        <v>58.015718619163572</v>
      </c>
      <c r="AA7" s="21">
        <f>IFERROR(Table13[[#This Row],[Scenario 3 Activity]]*Table13[[#This Row],[GWP per unit]],0)</f>
        <v>47.467406142952008</v>
      </c>
      <c r="AB7" s="21">
        <f>IFERROR(Table13[[#This Row],[Scenario 4 Activity]]*Table13[[#This Row],[GWP per unit]],0)</f>
        <v>63.289874857269339</v>
      </c>
      <c r="AC7" s="21">
        <f>IFERROR(Table13[[#This Row],[Scenario 5 Activity]]*Table13[[#This Row],[GWP per unit]],0)</f>
        <v>42.193249904846233</v>
      </c>
      <c r="AD7" s="54">
        <f>IF(Table13[Baseline GHG Total]="",0,Table13[Baseline GHG Total]/SUM(Table13[Baseline GHG Total]:Table13[Baseline GHG Total]))</f>
        <v>0.33906671298707325</v>
      </c>
      <c r="AE7" s="54">
        <f>IF(Table13[Scenario 2 GHG Total]="",0,Table13[Scenario 2 GHG Total]/SUM(Table13[Scenario 2 GHG Total]:Table13[Scenario 2 GHG Total]))</f>
        <v>0.33906671298707325</v>
      </c>
      <c r="AF7" s="54">
        <f>IF(Table13[Scenario 3 GHG Total]="",0,Table13[Scenario 3 GHG Total]/SUM(Table13[Scenario 3 GHG Total]:Table13[Scenario 3 GHG Total]))</f>
        <v>0.3390667129870733</v>
      </c>
      <c r="AG7" s="54">
        <f>IF(Table13[Scenario 4 GHG Total]="",0,Table13[Scenario 4 GHG Total]/SUM(Table13[Scenario 4 GHG Total]:Table13[Scenario 4 GHG Total]))</f>
        <v>0.3390667129870733</v>
      </c>
      <c r="AH7" s="54">
        <f>IF(Table13[Scenario 5 GHG Total]="",0,Table13[Scenario 5 GHG Total]/SUM(Table13[Scenario 5 GHG Total]:Table13[Scenario 5 GHG Total]))</f>
        <v>0.33906671298707336</v>
      </c>
      <c r="AI7" s="20" t="s">
        <v>57</v>
      </c>
      <c r="AJ7" s="20" t="s">
        <v>55</v>
      </c>
      <c r="AK7" s="20" t="s">
        <v>57</v>
      </c>
      <c r="AL7" s="20" t="s">
        <v>55</v>
      </c>
      <c r="AM7" s="20" t="s">
        <v>55</v>
      </c>
      <c r="AN7" s="21">
        <f>VLOOKUP($G7,Info!$A$40:$C$48,3,FALSE)</f>
        <v>1.05</v>
      </c>
      <c r="AO7" s="21">
        <f>HLOOKUP(Calculations!AI7,Info!$C$31:$F$36,2,FALSE)</f>
        <v>1.2</v>
      </c>
      <c r="AP7" s="21">
        <f>HLOOKUP(Calculations!AJ7,Info!$C$31:$F$36,3,FALSE)</f>
        <v>1</v>
      </c>
      <c r="AQ7" s="21">
        <f>HLOOKUP(Calculations!AK7,Info!$C$31:$F$36,4,FALSE)</f>
        <v>1.2</v>
      </c>
      <c r="AR7" s="21">
        <f>HLOOKUP(Calculations!AL7,Info!$C$31:$F$36,5,FALSE)</f>
        <v>1</v>
      </c>
      <c r="AS7" s="21">
        <f>HLOOKUP(Calculations!AM7,Info!$C$31:$F$36,6,FALSE)</f>
        <v>1</v>
      </c>
      <c r="AT7" s="20" t="s">
        <v>55</v>
      </c>
      <c r="AU7" s="20" t="s">
        <v>56</v>
      </c>
      <c r="AV7" s="20" t="s">
        <v>55</v>
      </c>
      <c r="AW7" s="20" t="s">
        <v>56</v>
      </c>
      <c r="AX7" s="20" t="s">
        <v>57</v>
      </c>
      <c r="AY7" s="21">
        <f>VLOOKUP($G7,Info!$A$40:$C$48,3,FALSE)</f>
        <v>1.05</v>
      </c>
      <c r="AZ7" s="21">
        <f>HLOOKUP(Calculations!AT7,Info!$C$31:$F$36,2,FALSE)</f>
        <v>1</v>
      </c>
      <c r="BA7" s="21">
        <f>HLOOKUP(Calculations!AU7,Info!$C$31:$F$36,3,FALSE)</f>
        <v>1.05</v>
      </c>
      <c r="BB7" s="21">
        <f>HLOOKUP(Calculations!AV7,Info!$C$31:$F$36,4,FALSE)</f>
        <v>1</v>
      </c>
      <c r="BC7" s="21">
        <f>HLOOKUP(Calculations!AW7,Info!$C$31:$F$36,5,FALSE)</f>
        <v>1.02</v>
      </c>
      <c r="BD7" s="21">
        <f>HLOOKUP(Calculations!AX7,Info!$C$31:$F$36,6,FALSE)</f>
        <v>1.5</v>
      </c>
      <c r="BE7"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1.3000688016831126</v>
      </c>
      <c r="BF7" s="77">
        <f t="shared" si="1"/>
        <v>1.1402055962339039</v>
      </c>
      <c r="BG7"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1.5094881771396103</v>
      </c>
      <c r="BH7" s="77">
        <f t="shared" si="0"/>
        <v>1.2286122973255682</v>
      </c>
      <c r="BI7" s="56">
        <f>EXP(((Table13[[#This Row],[% GWP from other gases]]^2)*(LN(Info!$B$27))^2)^0.5)</f>
        <v>1.0134128727181093</v>
      </c>
      <c r="BJ7" s="77">
        <f>Table13[[#This Row],[GWP GSD2]]^0.5</f>
        <v>1.0066840977775051</v>
      </c>
      <c r="BK7" s="56">
        <f>(Table13[[#This Row],[Percent contribution to Baseline inventory]]^2)*((LN(Table13[[#This Row],[Emission Factor GSD]]))^2)</f>
        <v>4.8732767023291768E-3</v>
      </c>
      <c r="BL7" s="56">
        <f>(Table13[[#This Row],[Percent contribution to Baseline inventory]]^2)*((LN(Table13[[#This Row],[Activity Data GSD]]))^2)</f>
        <v>1.9792236593579454E-3</v>
      </c>
      <c r="BM7" s="56">
        <f>(Table13[[#This Row],[Percent contribution to Baseline inventory]]^2)*((LN(Table13[[#This Row],[GWP GSD]]))^2)</f>
        <v>5.1022423871379391E-6</v>
      </c>
      <c r="BN7" s="56">
        <f>SUM(Table13[[#This Row],[Baseline Emission Factor Uncertainty Component]:[Baseline GWP Uncertainty Component]])</f>
        <v>6.8576026040742602E-3</v>
      </c>
      <c r="BO7" s="56">
        <f>(Table13[[#This Row],[Percent contribution to Scenario 2 inventory]]^2)*((LN(Table13[[#This Row],[Emission Factor GSD]]))^2)</f>
        <v>4.8732767023291768E-3</v>
      </c>
      <c r="BP7" s="56">
        <f>(Table13[[#This Row],[Percent contribution to Scenario 2 inventory]]^2)*((LN(Table13[[#This Row],[Activity Data GSD]]))^2)</f>
        <v>1.9792236593579454E-3</v>
      </c>
      <c r="BQ7" s="56">
        <f>(Table13[[#This Row],[Percent contribution to Scenario 2 inventory]]^2)*((LN(Table13[[#This Row],[GWP GSD]]))^2)</f>
        <v>5.1022423871379391E-6</v>
      </c>
      <c r="BR7" s="56">
        <f>SUM(Table13[[#This Row],[Scenario 2 Emission Factor Uncertainty Component]:[Scenario 2 GWP Uncertainty Component]])</f>
        <v>6.8576026040742602E-3</v>
      </c>
      <c r="BS7" s="56">
        <f>(Table13[[#This Row],[Percent contribution to Scenario 3 inventory]]^2)*((LN(Table13[[#This Row],[Emission Factor GSD]]))^2)</f>
        <v>4.8732767023291785E-3</v>
      </c>
      <c r="BT7" s="56">
        <f>(Table13[[#This Row],[Percent contribution to Scenario 3 inventory]]^2)*((LN(Table13[[#This Row],[Activity Data GSD]]))^2)</f>
        <v>1.9792236593579463E-3</v>
      </c>
      <c r="BU7" s="56">
        <f>(Table13[[#This Row],[Percent contribution to Scenario 3 inventory]]^2)*((LN(Table13[[#This Row],[GWP GSD]]))^2)</f>
        <v>5.1022423871379408E-6</v>
      </c>
      <c r="BV7" s="56">
        <f>SUM(Table13[[#This Row],[Scenario 3 Emission Factor Uncertainty Component]:[Scenario 3 GWP Uncertainty Component]])</f>
        <v>6.8576026040742628E-3</v>
      </c>
      <c r="BW7" s="56">
        <f>(Table13[[#This Row],[Percent contribution to Scenario 4 inventory]]^2)*((LN(Table13[[#This Row],[Emission Factor GSD]]))^2)</f>
        <v>4.8732767023291785E-3</v>
      </c>
      <c r="BX7" s="56">
        <f>(Table13[[#This Row],[Percent contribution to Scenario 4 inventory]]^2)*((LN(Table13[[#This Row],[Activity Data GSD]]))^2)</f>
        <v>1.9792236593579463E-3</v>
      </c>
      <c r="BY7" s="56">
        <f>(Table13[[#This Row],[Percent contribution to Scenario 4 inventory]]^2)*((LN(Table13[[#This Row],[GWP GSD]]))^2)</f>
        <v>5.1022423871379408E-6</v>
      </c>
      <c r="BZ7" s="56">
        <f>SUM(Table13[[#This Row],[Scenario 4 Emission Factor Uncertainty Component]:[Scenario 4 GWP Uncertainty Component]])</f>
        <v>6.8576026040742628E-3</v>
      </c>
      <c r="CA7" s="56">
        <f>(Table13[[#This Row],[Percent contribution to Scenario 5 inventory]]^2)*((LN(Table13[[#This Row],[Emission Factor GSD]]))^2)</f>
        <v>4.8732767023291802E-3</v>
      </c>
      <c r="CB7" s="56">
        <f>(Table13[[#This Row],[Percent contribution to Scenario 5 inventory]]^2)*((LN(Table13[[#This Row],[Activity Data GSD]]))^2)</f>
        <v>1.9792236593579467E-3</v>
      </c>
      <c r="CC7" s="56">
        <f>(Table13[[#This Row],[Percent contribution to Scenario 5 inventory]]^2)*((LN(Table13[[#This Row],[GWP GSD]]))^2)</f>
        <v>5.1022423871379433E-6</v>
      </c>
      <c r="CD7" s="56">
        <f>SUM(Table13[[#This Row],[Scenario 5 Emission Factor Uncertainty Component]:[Scenario 5 GWP Uncertainty Component]])</f>
        <v>6.8576026040742654E-3</v>
      </c>
      <c r="CE7" s="41"/>
      <c r="CF7" s="46" t="s">
        <v>13</v>
      </c>
      <c r="CG7" s="80">
        <f>CG6^2</f>
        <v>1.6040273311143574</v>
      </c>
      <c r="CH7" s="80">
        <f t="shared" ref="CH7:CK7" si="2">CH6^2</f>
        <v>1.6040273311143574</v>
      </c>
      <c r="CI7" s="80">
        <f t="shared" si="2"/>
        <v>1.6040273311143574</v>
      </c>
      <c r="CJ7" s="80">
        <f t="shared" si="2"/>
        <v>1.6040273311143574</v>
      </c>
      <c r="CK7" s="80">
        <f t="shared" si="2"/>
        <v>1.6040273311143574</v>
      </c>
      <c r="CL7" s="46" t="s">
        <v>17</v>
      </c>
      <c r="CM7" s="80">
        <f>CM5*CG7</f>
        <v>249.50519854809457</v>
      </c>
      <c r="CN7" s="80">
        <f>CN5*CH7</f>
        <v>274.4557184029041</v>
      </c>
      <c r="CO7" s="80">
        <f>CO5*CI7</f>
        <v>224.5546786932851</v>
      </c>
      <c r="CP7" s="80">
        <f>CP5*CJ7</f>
        <v>299.40623825771343</v>
      </c>
      <c r="CQ7" s="80">
        <f>CQ5*CK7</f>
        <v>199.60415883847563</v>
      </c>
    </row>
    <row r="8" spans="1:95" s="24" customFormat="1" ht="22.5" customHeight="1" x14ac:dyDescent="0.2">
      <c r="A8" s="18" t="s">
        <v>72</v>
      </c>
      <c r="B8" s="26" t="s">
        <v>81</v>
      </c>
      <c r="C8" s="19" t="s">
        <v>6</v>
      </c>
      <c r="D8" s="20" t="s">
        <v>1</v>
      </c>
      <c r="E8" s="20">
        <v>2005</v>
      </c>
      <c r="F8" s="20" t="s">
        <v>7</v>
      </c>
      <c r="G8" s="20" t="s">
        <v>26</v>
      </c>
      <c r="H8" s="20">
        <v>0.12</v>
      </c>
      <c r="I8" s="20"/>
      <c r="J8" s="20"/>
      <c r="K8" s="20"/>
      <c r="L8" s="20"/>
      <c r="M8" s="20"/>
      <c r="N8" s="49">
        <v>5.2472272706570004E-3</v>
      </c>
      <c r="O8" s="50">
        <f>(SUM(Table13[[#This Row],[Methane emission factor]:[Unclassified gasses emission factor]]))/Table13[[#This Row],[GWP per unit]]</f>
        <v>4.1894957557166816E-2</v>
      </c>
      <c r="P8" s="50">
        <f>SUM(Table13[[#This Row],[CO2 emission factor]:[Unclassified gasses emission factor]])</f>
        <v>0.12524722727065699</v>
      </c>
      <c r="Q8" s="25">
        <v>2.81</v>
      </c>
      <c r="R8" s="25"/>
      <c r="S8" s="25"/>
      <c r="T8" s="25"/>
      <c r="U8" s="22">
        <v>3.0910000000000002</v>
      </c>
      <c r="V8" s="22">
        <v>2.5289999999999999</v>
      </c>
      <c r="W8" s="20">
        <v>3.3719999999999999</v>
      </c>
      <c r="X8" s="20">
        <v>2.2480000000000002</v>
      </c>
      <c r="Y8" s="53">
        <f>IFERROR(Table13[[#This Row],[Baseline Activity]]*Table13[[#This Row],[GWP per unit]],0)</f>
        <v>0.35194470863054611</v>
      </c>
      <c r="Z8" s="21">
        <f>IFERROR(Table13[[#This Row],[Scenario 2 Activity]]*Table13[[#This Row],[GWP per unit]],0)</f>
        <v>0.38713917949360077</v>
      </c>
      <c r="AA8" s="21">
        <f>IFERROR(Table13[[#This Row],[Scenario 3 Activity]]*Table13[[#This Row],[GWP per unit]],0)</f>
        <v>0.3167502377674915</v>
      </c>
      <c r="AB8" s="21">
        <f>IFERROR(Table13[[#This Row],[Scenario 4 Activity]]*Table13[[#This Row],[GWP per unit]],0)</f>
        <v>0.42233365035665532</v>
      </c>
      <c r="AC8" s="21">
        <f>IFERROR(Table13[[#This Row],[Scenario 5 Activity]]*Table13[[#This Row],[GWP per unit]],0)</f>
        <v>0.28155576690443695</v>
      </c>
      <c r="AD8" s="54">
        <f>IF(Table13[Baseline GHG Total]="",0,Table13[Baseline GHG Total]/SUM(Table13[Baseline GHG Total]:Table13[Baseline GHG Total]))</f>
        <v>2.2625938656570979E-3</v>
      </c>
      <c r="AE8" s="54">
        <f>IF(Table13[Scenario 2 GHG Total]="",0,Table13[Scenario 2 GHG Total]/SUM(Table13[Scenario 2 GHG Total]:Table13[Scenario 2 GHG Total]))</f>
        <v>2.2625938656570979E-3</v>
      </c>
      <c r="AF8" s="54">
        <f>IF(Table13[Scenario 3 GHG Total]="",0,Table13[Scenario 3 GHG Total]/SUM(Table13[Scenario 3 GHG Total]:Table13[Scenario 3 GHG Total]))</f>
        <v>2.2625938656570983E-3</v>
      </c>
      <c r="AG8" s="54">
        <f>IF(Table13[Scenario 4 GHG Total]="",0,Table13[Scenario 4 GHG Total]/SUM(Table13[Scenario 4 GHG Total]:Table13[Scenario 4 GHG Total]))</f>
        <v>2.2625938656570979E-3</v>
      </c>
      <c r="AH8" s="54">
        <f>IF(Table13[Scenario 5 GHG Total]="",0,Table13[Scenario 5 GHG Total]/SUM(Table13[Scenario 5 GHG Total]:Table13[Scenario 5 GHG Total]))</f>
        <v>2.2625938656570988E-3</v>
      </c>
      <c r="AI8" s="20" t="s">
        <v>57</v>
      </c>
      <c r="AJ8" s="20" t="str">
        <f>Info!$B$14</f>
        <v>Poor</v>
      </c>
      <c r="AK8" s="20" t="s">
        <v>56</v>
      </c>
      <c r="AL8" s="20" t="str">
        <f>Info!$B$16</f>
        <v>Poor</v>
      </c>
      <c r="AM8" s="20" t="str">
        <f>Info!$B$17</f>
        <v>Poor</v>
      </c>
      <c r="AN8" s="21">
        <f>VLOOKUP($G8,Info!$A$40:$C$48,3,FALSE)</f>
        <v>2</v>
      </c>
      <c r="AO8" s="21">
        <f>HLOOKUP(Calculations!AI8,Info!$C$31:$F$36,2,FALSE)</f>
        <v>1.2</v>
      </c>
      <c r="AP8" s="21">
        <f>HLOOKUP(Calculations!AJ8,Info!$C$31:$F$36,3,FALSE)</f>
        <v>1.2</v>
      </c>
      <c r="AQ8" s="21">
        <f>HLOOKUP(Calculations!AK8,Info!$C$31:$F$36,4,FALSE)</f>
        <v>1.1000000000000001</v>
      </c>
      <c r="AR8" s="21">
        <f>HLOOKUP(Calculations!AL8,Info!$C$31:$F$36,5,FALSE)</f>
        <v>1.1000000000000001</v>
      </c>
      <c r="AS8" s="21">
        <f>HLOOKUP(Calculations!AM8,Info!$C$31:$F$36,6,FALSE)</f>
        <v>2</v>
      </c>
      <c r="AT8" s="20" t="s">
        <v>56</v>
      </c>
      <c r="AU8" s="20" t="s">
        <v>55</v>
      </c>
      <c r="AV8" s="20" t="s">
        <v>55</v>
      </c>
      <c r="AW8" s="20" t="s">
        <v>55</v>
      </c>
      <c r="AX8" s="20" t="s">
        <v>55</v>
      </c>
      <c r="AY8" s="21">
        <f>VLOOKUP($G8,Info!$A$40:$C$48,3,FALSE)</f>
        <v>2</v>
      </c>
      <c r="AZ8" s="21">
        <f>HLOOKUP(Calculations!AT8,Info!$C$31:$F$36,2,FALSE)</f>
        <v>1.1000000000000001</v>
      </c>
      <c r="BA8" s="21">
        <f>HLOOKUP(Calculations!AU8,Info!$C$31:$F$36,3,FALSE)</f>
        <v>1</v>
      </c>
      <c r="BB8" s="21">
        <f>HLOOKUP(Calculations!AV8,Info!$C$31:$F$36,4,FALSE)</f>
        <v>1</v>
      </c>
      <c r="BC8" s="21">
        <f>HLOOKUP(Calculations!AW8,Info!$C$31:$F$36,5,FALSE)</f>
        <v>1</v>
      </c>
      <c r="BD8" s="21">
        <f>HLOOKUP(Calculations!AX8,Info!$C$31:$F$36,6,FALSE)</f>
        <v>1</v>
      </c>
      <c r="BE8"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2.7802045869470815</v>
      </c>
      <c r="BF8" s="77">
        <f t="shared" si="1"/>
        <v>1.6673945504730072</v>
      </c>
      <c r="BG8"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2.0130867471709437</v>
      </c>
      <c r="BH8" s="77">
        <f t="shared" si="0"/>
        <v>1.4188328820445852</v>
      </c>
      <c r="BI8" s="56">
        <f>EXP(((Table13[[#This Row],[% GWP from other gases]]^2)*(LN(Info!$B$27))^2)^0.5)</f>
        <v>1.012652239973711</v>
      </c>
      <c r="BJ8" s="77">
        <f>Table13[[#This Row],[GWP GSD2]]^0.5</f>
        <v>1.0063062356826131</v>
      </c>
      <c r="BK8" s="56">
        <f>(Table13[[#This Row],[Percent contribution to Baseline inventory]]^2)*((LN(Table13[[#This Row],[Emission Factor GSD]]))^2)</f>
        <v>6.2652554173504943E-7</v>
      </c>
      <c r="BL8" s="56">
        <f>(Table13[[#This Row],[Percent contribution to Baseline inventory]]^2)*((LN(Table13[[#This Row],[Activity Data GSD]]))^2)</f>
        <v>1.3381373085042433E-6</v>
      </c>
      <c r="BM8" s="56">
        <f>(Table13[[#This Row],[Percent contribution to Baseline inventory]]^2)*((LN(Table13[[#This Row],[GWP GSD]]))^2)</f>
        <v>2.0231217157169057E-10</v>
      </c>
      <c r="BN8" s="56">
        <f>SUM(Table13[[#This Row],[Baseline Emission Factor Uncertainty Component]:[Baseline GWP Uncertainty Component]])</f>
        <v>1.9648651624108644E-6</v>
      </c>
      <c r="BO8" s="56">
        <f>(Table13[[#This Row],[Percent contribution to Scenario 2 inventory]]^2)*((LN(Table13[[#This Row],[Emission Factor GSD]]))^2)</f>
        <v>6.2652554173504943E-7</v>
      </c>
      <c r="BP8" s="56">
        <f>(Table13[[#This Row],[Percent contribution to Scenario 2 inventory]]^2)*((LN(Table13[[#This Row],[Activity Data GSD]]))^2)</f>
        <v>1.3381373085042433E-6</v>
      </c>
      <c r="BQ8" s="56">
        <f>(Table13[[#This Row],[Percent contribution to Scenario 2 inventory]]^2)*((LN(Table13[[#This Row],[GWP GSD]]))^2)</f>
        <v>2.0231217157169057E-10</v>
      </c>
      <c r="BR8" s="56">
        <f>SUM(Table13[[#This Row],[Scenario 2 Emission Factor Uncertainty Component]:[Scenario 2 GWP Uncertainty Component]])</f>
        <v>1.9648651624108644E-6</v>
      </c>
      <c r="BS8" s="56">
        <f>(Table13[[#This Row],[Percent contribution to Scenario 3 inventory]]^2)*((LN(Table13[[#This Row],[Emission Factor GSD]]))^2)</f>
        <v>6.2652554173504964E-7</v>
      </c>
      <c r="BT8" s="56">
        <f>(Table13[[#This Row],[Percent contribution to Scenario 3 inventory]]^2)*((LN(Table13[[#This Row],[Activity Data GSD]]))^2)</f>
        <v>1.3381373085042438E-6</v>
      </c>
      <c r="BU8" s="56">
        <f>(Table13[[#This Row],[Percent contribution to Scenario 3 inventory]]^2)*((LN(Table13[[#This Row],[GWP GSD]]))^2)</f>
        <v>2.0231217157169065E-10</v>
      </c>
      <c r="BV8" s="56">
        <f>SUM(Table13[[#This Row],[Scenario 3 Emission Factor Uncertainty Component]:[Scenario 3 GWP Uncertainty Component]])</f>
        <v>1.9648651624108648E-6</v>
      </c>
      <c r="BW8" s="56">
        <f>(Table13[[#This Row],[Percent contribution to Scenario 4 inventory]]^2)*((LN(Table13[[#This Row],[Emission Factor GSD]]))^2)</f>
        <v>6.2652554173504943E-7</v>
      </c>
      <c r="BX8" s="56">
        <f>(Table13[[#This Row],[Percent contribution to Scenario 4 inventory]]^2)*((LN(Table13[[#This Row],[Activity Data GSD]]))^2)</f>
        <v>1.3381373085042433E-6</v>
      </c>
      <c r="BY8" s="56">
        <f>(Table13[[#This Row],[Percent contribution to Scenario 4 inventory]]^2)*((LN(Table13[[#This Row],[GWP GSD]]))^2)</f>
        <v>2.0231217157169057E-10</v>
      </c>
      <c r="BZ8" s="56">
        <f>SUM(Table13[[#This Row],[Scenario 4 Emission Factor Uncertainty Component]:[Scenario 4 GWP Uncertainty Component]])</f>
        <v>1.9648651624108644E-6</v>
      </c>
      <c r="CA8" s="56">
        <f>(Table13[[#This Row],[Percent contribution to Scenario 5 inventory]]^2)*((LN(Table13[[#This Row],[Emission Factor GSD]]))^2)</f>
        <v>6.2652554173504975E-7</v>
      </c>
      <c r="CB8" s="56">
        <f>(Table13[[#This Row],[Percent contribution to Scenario 5 inventory]]^2)*((LN(Table13[[#This Row],[Activity Data GSD]]))^2)</f>
        <v>1.3381373085042442E-6</v>
      </c>
      <c r="CC8" s="56">
        <f>(Table13[[#This Row],[Percent contribution to Scenario 5 inventory]]^2)*((LN(Table13[[#This Row],[GWP GSD]]))^2)</f>
        <v>2.023121715716907E-10</v>
      </c>
      <c r="CD8" s="56">
        <f>SUM(Table13[[#This Row],[Scenario 5 Emission Factor Uncertainty Component]:[Scenario 5 GWP Uncertainty Component]])</f>
        <v>1.9648651624108657E-6</v>
      </c>
      <c r="CE8" s="41"/>
      <c r="CL8" s="46" t="s">
        <v>38</v>
      </c>
      <c r="CM8" s="81">
        <f>CM5-CM6</f>
        <v>58.575049043022545</v>
      </c>
      <c r="CN8" s="80">
        <f t="shared" ref="CN8:CP8" si="3">CN5-CN6</f>
        <v>64.432553947324806</v>
      </c>
      <c r="CO8" s="80">
        <f t="shared" si="3"/>
        <v>52.717544138720285</v>
      </c>
      <c r="CP8" s="80">
        <f t="shared" si="3"/>
        <v>70.290058851627052</v>
      </c>
      <c r="CQ8" s="80">
        <f t="shared" ref="CQ8" si="4">CQ5-CQ6</f>
        <v>46.860039234418025</v>
      </c>
    </row>
    <row r="9" spans="1:95" s="24" customFormat="1" ht="22.5" customHeight="1" x14ac:dyDescent="0.2">
      <c r="A9" s="32" t="s">
        <v>213</v>
      </c>
      <c r="B9" s="26" t="s">
        <v>80</v>
      </c>
      <c r="C9" s="19" t="s">
        <v>9</v>
      </c>
      <c r="D9" s="20" t="s">
        <v>1</v>
      </c>
      <c r="E9" s="20">
        <v>1995</v>
      </c>
      <c r="F9" s="20" t="s">
        <v>0</v>
      </c>
      <c r="G9" s="20" t="s">
        <v>30</v>
      </c>
      <c r="H9" s="20"/>
      <c r="I9" s="20"/>
      <c r="J9" s="20"/>
      <c r="K9" s="20"/>
      <c r="L9" s="20"/>
      <c r="M9" s="20"/>
      <c r="N9" s="49">
        <v>12.248833016229703</v>
      </c>
      <c r="O9" s="50">
        <f>(SUM(Table13[[#This Row],[Methane emission factor]:[Unclassified gasses emission factor]]))/Table13[[#This Row],[GWP per unit]]</f>
        <v>1</v>
      </c>
      <c r="P9" s="50">
        <f>SUM(Table13[[#This Row],[CO2 emission factor]:[Unclassified gasses emission factor]])</f>
        <v>12.248833016229703</v>
      </c>
      <c r="Q9" s="48">
        <v>7.6679999999999998E-2</v>
      </c>
      <c r="R9" s="16"/>
      <c r="S9" s="16"/>
      <c r="T9" s="16"/>
      <c r="U9" s="27">
        <v>8.4348000000000006E-2</v>
      </c>
      <c r="V9" s="25">
        <v>6.9012000000000004E-2</v>
      </c>
      <c r="W9" s="20">
        <v>9.2016000000000001E-2</v>
      </c>
      <c r="X9" s="20">
        <v>6.1344000000000003E-2</v>
      </c>
      <c r="Y9" s="53">
        <f>IFERROR(Table13[[#This Row],[Baseline Activity]]*Table13[[#This Row],[GWP per unit]],0)</f>
        <v>0.93924051568449363</v>
      </c>
      <c r="Z9" s="21">
        <f>IFERROR(Table13[[#This Row],[Scenario 2 Activity]]*Table13[[#This Row],[GWP per unit]],0)</f>
        <v>1.033164567252943</v>
      </c>
      <c r="AA9" s="21">
        <f>IFERROR(Table13[[#This Row],[Scenario 3 Activity]]*Table13[[#This Row],[GWP per unit]],0)</f>
        <v>0.84531646411604433</v>
      </c>
      <c r="AB9" s="21">
        <f>IFERROR(Table13[[#This Row],[Scenario 4 Activity]]*Table13[[#This Row],[GWP per unit]],0)</f>
        <v>1.1270886188213924</v>
      </c>
      <c r="AC9" s="21">
        <f>IFERROR(Table13[[#This Row],[Scenario 5 Activity]]*Table13[[#This Row],[GWP per unit]],0)</f>
        <v>0.75139241254759492</v>
      </c>
      <c r="AD9" s="54">
        <f>IF(Table13[Baseline GHG Total]="",0,Table13[Baseline GHG Total]/SUM(Table13[Baseline GHG Total]:Table13[Baseline GHG Total]))</f>
        <v>6.0382207120925598E-3</v>
      </c>
      <c r="AE9" s="54">
        <f>IF(Table13[Scenario 2 GHG Total]="",0,Table13[Scenario 2 GHG Total]/SUM(Table13[Scenario 2 GHG Total]:Table13[Scenario 2 GHG Total]))</f>
        <v>6.0382207120925589E-3</v>
      </c>
      <c r="AF9" s="54">
        <f>IF(Table13[Scenario 3 GHG Total]="",0,Table13[Scenario 3 GHG Total]/SUM(Table13[Scenario 3 GHG Total]:Table13[Scenario 3 GHG Total]))</f>
        <v>6.0382207120925607E-3</v>
      </c>
      <c r="AG9" s="54">
        <f>IF(Table13[Scenario 4 GHG Total]="",0,Table13[Scenario 4 GHG Total]/SUM(Table13[Scenario 4 GHG Total]:Table13[Scenario 4 GHG Total]))</f>
        <v>6.0382207120925607E-3</v>
      </c>
      <c r="AH9" s="54">
        <f>IF(Table13[Scenario 5 GHG Total]="",0,Table13[Scenario 5 GHG Total]/SUM(Table13[Scenario 5 GHG Total]:Table13[Scenario 5 GHG Total]))</f>
        <v>6.0382207120925607E-3</v>
      </c>
      <c r="AI9" s="20" t="s">
        <v>53</v>
      </c>
      <c r="AJ9" s="20" t="str">
        <f>Info!$B$14</f>
        <v>Poor</v>
      </c>
      <c r="AK9" s="20" t="s">
        <v>56</v>
      </c>
      <c r="AL9" s="20" t="str">
        <f>Info!$B$16</f>
        <v>Poor</v>
      </c>
      <c r="AM9" s="20" t="str">
        <f>Info!$B$17</f>
        <v>Poor</v>
      </c>
      <c r="AN9" s="21">
        <f>VLOOKUP($G9,Info!$A$40:$C$48,3,FALSE)</f>
        <v>1.05</v>
      </c>
      <c r="AO9" s="21">
        <f>HLOOKUP(Calculations!AI9,Info!$C$31:$F$36,2,FALSE)</f>
        <v>1.5</v>
      </c>
      <c r="AP9" s="21">
        <f>HLOOKUP(Calculations!AJ9,Info!$C$31:$F$36,3,FALSE)</f>
        <v>1.2</v>
      </c>
      <c r="AQ9" s="21">
        <f>HLOOKUP(Calculations!AK9,Info!$C$31:$F$36,4,FALSE)</f>
        <v>1.1000000000000001</v>
      </c>
      <c r="AR9" s="21">
        <f>HLOOKUP(Calculations!AL9,Info!$C$31:$F$36,5,FALSE)</f>
        <v>1.1000000000000001</v>
      </c>
      <c r="AS9" s="21">
        <f>HLOOKUP(Calculations!AM9,Info!$C$31:$F$36,6,FALSE)</f>
        <v>2</v>
      </c>
      <c r="AT9" s="20" t="s">
        <v>57</v>
      </c>
      <c r="AU9" s="20" t="s">
        <v>57</v>
      </c>
      <c r="AV9" s="20" t="s">
        <v>56</v>
      </c>
      <c r="AW9" s="20" t="str">
        <f>Info!$B$23</f>
        <v>Poor</v>
      </c>
      <c r="AX9" s="20" t="s">
        <v>56</v>
      </c>
      <c r="AY9" s="21">
        <f>VLOOKUP($G9,Info!$A$40:$C$48,3,FALSE)</f>
        <v>1.05</v>
      </c>
      <c r="AZ9" s="21">
        <f>HLOOKUP(Calculations!AT9,Info!$C$31:$F$36,2,FALSE)</f>
        <v>1.2</v>
      </c>
      <c r="BA9" s="21">
        <f>HLOOKUP(Calculations!AU9,Info!$C$31:$F$36,3,FALSE)</f>
        <v>1.1000000000000001</v>
      </c>
      <c r="BB9" s="21">
        <f>HLOOKUP(Calculations!AV9,Info!$C$31:$F$36,4,FALSE)</f>
        <v>1.1000000000000001</v>
      </c>
      <c r="BC9" s="21">
        <f>HLOOKUP(Calculations!AW9,Info!$C$31:$F$36,5,FALSE)</f>
        <v>1.1000000000000001</v>
      </c>
      <c r="BD9" s="21">
        <f>HLOOKUP(Calculations!AX9,Info!$C$31:$F$36,6,FALSE)</f>
        <v>1.2</v>
      </c>
      <c r="BE9"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2.3067731951631232</v>
      </c>
      <c r="BF9" s="77">
        <f t="shared" si="1"/>
        <v>1.5188065035293743</v>
      </c>
      <c r="BG9"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1.3634578165196725</v>
      </c>
      <c r="BH9" s="77">
        <f t="shared" si="0"/>
        <v>1.1676719644316518</v>
      </c>
      <c r="BI9" s="56">
        <f>EXP(((Table13[[#This Row],[% GWP from other gases]]^2)*(LN(Info!$B$27))^2)^0.5)</f>
        <v>1.35</v>
      </c>
      <c r="BJ9" s="77">
        <f>Table13[[#This Row],[GWP GSD2]]^0.5</f>
        <v>1.1618950038622251</v>
      </c>
      <c r="BK9" s="56">
        <f>(Table13[[#This Row],[Percent contribution to Baseline inventory]]^2)*((LN(Table13[[#This Row],[Emission Factor GSD]]))^2)</f>
        <v>8.7608968065686082E-7</v>
      </c>
      <c r="BL9" s="56">
        <f>(Table13[[#This Row],[Percent contribution to Baseline inventory]]^2)*((LN(Table13[[#This Row],[Activity Data GSD]]))^2)</f>
        <v>6.368165166852179E-6</v>
      </c>
      <c r="BM9" s="56">
        <f>(Table13[[#This Row],[Percent contribution to Baseline inventory]]^2)*((LN(Table13[[#This Row],[GWP GSD]]))^2)</f>
        <v>8.2092457832006596E-7</v>
      </c>
      <c r="BN9" s="56">
        <f>SUM(Table13[[#This Row],[Baseline Emission Factor Uncertainty Component]:[Baseline GWP Uncertainty Component]])</f>
        <v>8.0651794258291069E-6</v>
      </c>
      <c r="BO9" s="56">
        <f>(Table13[[#This Row],[Percent contribution to Scenario 2 inventory]]^2)*((LN(Table13[[#This Row],[Emission Factor GSD]]))^2)</f>
        <v>8.7608968065686051E-7</v>
      </c>
      <c r="BP9" s="56">
        <f>(Table13[[#This Row],[Percent contribution to Scenario 2 inventory]]^2)*((LN(Table13[[#This Row],[Activity Data GSD]]))^2)</f>
        <v>6.3681651668521765E-6</v>
      </c>
      <c r="BQ9" s="56">
        <f>(Table13[[#This Row],[Percent contribution to Scenario 2 inventory]]^2)*((LN(Table13[[#This Row],[GWP GSD]]))^2)</f>
        <v>8.2092457832006575E-7</v>
      </c>
      <c r="BR9" s="56">
        <f>SUM(Table13[[#This Row],[Scenario 2 Emission Factor Uncertainty Component]:[Scenario 2 GWP Uncertainty Component]])</f>
        <v>8.0651794258291018E-6</v>
      </c>
      <c r="BS9" s="56">
        <f>(Table13[[#This Row],[Percent contribution to Scenario 3 inventory]]^2)*((LN(Table13[[#This Row],[Emission Factor GSD]]))^2)</f>
        <v>8.7608968065686104E-7</v>
      </c>
      <c r="BT9" s="56">
        <f>(Table13[[#This Row],[Percent contribution to Scenario 3 inventory]]^2)*((LN(Table13[[#This Row],[Activity Data GSD]]))^2)</f>
        <v>6.3681651668521799E-6</v>
      </c>
      <c r="BU9" s="56">
        <f>(Table13[[#This Row],[Percent contribution to Scenario 3 inventory]]^2)*((LN(Table13[[#This Row],[GWP GSD]]))^2)</f>
        <v>8.2092457832006617E-7</v>
      </c>
      <c r="BV9" s="56">
        <f>SUM(Table13[[#This Row],[Scenario 3 Emission Factor Uncertainty Component]:[Scenario 3 GWP Uncertainty Component]])</f>
        <v>8.0651794258291069E-6</v>
      </c>
      <c r="BW9" s="56">
        <f>(Table13[[#This Row],[Percent contribution to Scenario 4 inventory]]^2)*((LN(Table13[[#This Row],[Emission Factor GSD]]))^2)</f>
        <v>8.7608968065686104E-7</v>
      </c>
      <c r="BX9" s="56">
        <f>(Table13[[#This Row],[Percent contribution to Scenario 4 inventory]]^2)*((LN(Table13[[#This Row],[Activity Data GSD]]))^2)</f>
        <v>6.3681651668521799E-6</v>
      </c>
      <c r="BY9" s="56">
        <f>(Table13[[#This Row],[Percent contribution to Scenario 4 inventory]]^2)*((LN(Table13[[#This Row],[GWP GSD]]))^2)</f>
        <v>8.2092457832006617E-7</v>
      </c>
      <c r="BZ9" s="56">
        <f>SUM(Table13[[#This Row],[Scenario 4 Emission Factor Uncertainty Component]:[Scenario 4 GWP Uncertainty Component]])</f>
        <v>8.0651794258291069E-6</v>
      </c>
      <c r="CA9" s="56">
        <f>(Table13[[#This Row],[Percent contribution to Scenario 5 inventory]]^2)*((LN(Table13[[#This Row],[Emission Factor GSD]]))^2)</f>
        <v>8.7608968065686104E-7</v>
      </c>
      <c r="CB9" s="56">
        <f>(Table13[[#This Row],[Percent contribution to Scenario 5 inventory]]^2)*((LN(Table13[[#This Row],[Activity Data GSD]]))^2)</f>
        <v>6.3681651668521799E-6</v>
      </c>
      <c r="CC9" s="56">
        <f>(Table13[[#This Row],[Percent contribution to Scenario 5 inventory]]^2)*((LN(Table13[[#This Row],[GWP GSD]]))^2)</f>
        <v>8.2092457832006617E-7</v>
      </c>
      <c r="CD9" s="56">
        <f>SUM(Table13[[#This Row],[Scenario 5 Emission Factor Uncertainty Component]:[Scenario 5 GWP Uncertainty Component]])</f>
        <v>8.0651794258291069E-6</v>
      </c>
      <c r="CE9" s="41"/>
      <c r="CL9" s="46" t="s">
        <v>39</v>
      </c>
      <c r="CM9" s="80">
        <f>CM7-CM5</f>
        <v>93.955979586372052</v>
      </c>
      <c r="CN9" s="80">
        <f t="shared" ref="CN9:CP9" si="5">CN7-CN5</f>
        <v>103.35157754500929</v>
      </c>
      <c r="CO9" s="80">
        <f t="shared" si="5"/>
        <v>84.560381627734841</v>
      </c>
      <c r="CP9" s="80">
        <f t="shared" si="5"/>
        <v>112.74717550364642</v>
      </c>
      <c r="CQ9" s="80">
        <f t="shared" ref="CQ9" si="6">CQ7-CQ5</f>
        <v>75.164783669097631</v>
      </c>
    </row>
    <row r="10" spans="1:95" s="24" customFormat="1" ht="22.5" customHeight="1" x14ac:dyDescent="0.2">
      <c r="A10" s="32" t="s">
        <v>65</v>
      </c>
      <c r="B10" s="26" t="s">
        <v>10</v>
      </c>
      <c r="C10" s="19" t="s">
        <v>6</v>
      </c>
      <c r="D10" s="20" t="s">
        <v>5</v>
      </c>
      <c r="E10" s="20">
        <v>1996</v>
      </c>
      <c r="F10" s="20" t="s">
        <v>0</v>
      </c>
      <c r="G10" s="20" t="s">
        <v>30</v>
      </c>
      <c r="H10" s="20"/>
      <c r="I10" s="20"/>
      <c r="J10" s="20"/>
      <c r="K10" s="20"/>
      <c r="L10" s="20"/>
      <c r="M10" s="20"/>
      <c r="N10" s="49">
        <v>3.4892370166654758</v>
      </c>
      <c r="O10" s="50">
        <f>(SUM(Table13[[#This Row],[Methane emission factor]:[Unclassified gasses emission factor]]))/Table13[[#This Row],[GWP per unit]]</f>
        <v>1</v>
      </c>
      <c r="P10" s="50">
        <f>SUM(Table13[[#This Row],[CO2 emission factor]:[Unclassified gasses emission factor]])</f>
        <v>3.4892370166654758</v>
      </c>
      <c r="Q10" s="48">
        <v>5.5000000000000003E-4</v>
      </c>
      <c r="R10" s="16"/>
      <c r="S10" s="16"/>
      <c r="T10" s="16"/>
      <c r="U10" s="27">
        <v>6.0500000000000007E-4</v>
      </c>
      <c r="V10" s="25">
        <v>4.95E-4</v>
      </c>
      <c r="W10" s="20">
        <v>6.6E-4</v>
      </c>
      <c r="X10" s="20">
        <v>4.4000000000000007E-4</v>
      </c>
      <c r="Y10" s="53">
        <f>IFERROR(Table13[[#This Row],[Baseline Activity]]*Table13[[#This Row],[GWP per unit]],0)</f>
        <v>1.9190803591660119E-3</v>
      </c>
      <c r="Z10" s="21">
        <f>IFERROR(Table13[[#This Row],[Scenario 2 Activity]]*Table13[[#This Row],[GWP per unit]],0)</f>
        <v>2.1109883950826132E-3</v>
      </c>
      <c r="AA10" s="21">
        <f>IFERROR(Table13[[#This Row],[Scenario 3 Activity]]*Table13[[#This Row],[GWP per unit]],0)</f>
        <v>1.7271723232494104E-3</v>
      </c>
      <c r="AB10" s="21">
        <f>IFERROR(Table13[[#This Row],[Scenario 4 Activity]]*Table13[[#This Row],[GWP per unit]],0)</f>
        <v>2.3028964309992142E-3</v>
      </c>
      <c r="AC10" s="21">
        <f>IFERROR(Table13[[#This Row],[Scenario 5 Activity]]*Table13[[#This Row],[GWP per unit]],0)</f>
        <v>1.5352642873328096E-3</v>
      </c>
      <c r="AD10" s="54">
        <f>IF(Table13[Baseline GHG Total]="",0,Table13[Baseline GHG Total]/SUM(Table13[Baseline GHG Total]:Table13[Baseline GHG Total]))</f>
        <v>1.2337447735036576E-5</v>
      </c>
      <c r="AE10" s="54">
        <f>IF(Table13[Scenario 2 GHG Total]="",0,Table13[Scenario 2 GHG Total]/SUM(Table13[Scenario 2 GHG Total]:Table13[Scenario 2 GHG Total]))</f>
        <v>1.2337447735036574E-5</v>
      </c>
      <c r="AF10" s="54">
        <f>IF(Table13[Scenario 3 GHG Total]="",0,Table13[Scenario 3 GHG Total]/SUM(Table13[Scenario 3 GHG Total]:Table13[Scenario 3 GHG Total]))</f>
        <v>1.2337447735036576E-5</v>
      </c>
      <c r="AG10" s="54">
        <f>IF(Table13[Scenario 4 GHG Total]="",0,Table13[Scenario 4 GHG Total]/SUM(Table13[Scenario 4 GHG Total]:Table13[Scenario 4 GHG Total]))</f>
        <v>1.2337447735036577E-5</v>
      </c>
      <c r="AH10" s="54">
        <f>IF(Table13[Scenario 5 GHG Total]="",0,Table13[Scenario 5 GHG Total]/SUM(Table13[Scenario 5 GHG Total]:Table13[Scenario 5 GHG Total]))</f>
        <v>1.2337447735036579E-5</v>
      </c>
      <c r="AI10" s="20" t="s">
        <v>56</v>
      </c>
      <c r="AJ10" s="20" t="s">
        <v>56</v>
      </c>
      <c r="AK10" s="20" t="s">
        <v>56</v>
      </c>
      <c r="AL10" s="20" t="str">
        <f>Info!$B$16</f>
        <v>Poor</v>
      </c>
      <c r="AM10" s="20" t="s">
        <v>55</v>
      </c>
      <c r="AN10" s="21">
        <f>VLOOKUP($G10,Info!$A$40:$C$48,3,FALSE)</f>
        <v>1.05</v>
      </c>
      <c r="AO10" s="21">
        <f>HLOOKUP(Calculations!AI10,Info!$C$31:$F$36,2,FALSE)</f>
        <v>1.1000000000000001</v>
      </c>
      <c r="AP10" s="21">
        <f>HLOOKUP(Calculations!AJ10,Info!$C$31:$F$36,3,FALSE)</f>
        <v>1.05</v>
      </c>
      <c r="AQ10" s="21">
        <f>HLOOKUP(Calculations!AK10,Info!$C$31:$F$36,4,FALSE)</f>
        <v>1.1000000000000001</v>
      </c>
      <c r="AR10" s="21">
        <f>HLOOKUP(Calculations!AL10,Info!$C$31:$F$36,5,FALSE)</f>
        <v>1.1000000000000001</v>
      </c>
      <c r="AS10" s="21">
        <f>HLOOKUP(Calculations!AM10,Info!$C$31:$F$36,6,FALSE)</f>
        <v>1</v>
      </c>
      <c r="AT10" s="20" t="s">
        <v>55</v>
      </c>
      <c r="AU10" s="20" t="s">
        <v>56</v>
      </c>
      <c r="AV10" s="20" t="s">
        <v>56</v>
      </c>
      <c r="AW10" s="20" t="s">
        <v>57</v>
      </c>
      <c r="AX10" s="20" t="s">
        <v>56</v>
      </c>
      <c r="AY10" s="21">
        <f>VLOOKUP($G10,Info!$A$40:$C$48,3,FALSE)</f>
        <v>1.05</v>
      </c>
      <c r="AZ10" s="21">
        <f>HLOOKUP(Calculations!AT10,Info!$C$31:$F$36,2,FALSE)</f>
        <v>1</v>
      </c>
      <c r="BA10" s="21">
        <f>HLOOKUP(Calculations!AU10,Info!$C$31:$F$36,3,FALSE)</f>
        <v>1.05</v>
      </c>
      <c r="BB10" s="21">
        <f>HLOOKUP(Calculations!AV10,Info!$C$31:$F$36,4,FALSE)</f>
        <v>1.1000000000000001</v>
      </c>
      <c r="BC10" s="21">
        <f>HLOOKUP(Calculations!AW10,Info!$C$31:$F$36,5,FALSE)</f>
        <v>1.05</v>
      </c>
      <c r="BD10" s="21">
        <f>HLOOKUP(Calculations!AX10,Info!$C$31:$F$36,6,FALSE)</f>
        <v>1.2</v>
      </c>
      <c r="BE10"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1.195927355515193</v>
      </c>
      <c r="BF10" s="77">
        <f t="shared" si="1"/>
        <v>1.0935846357347898</v>
      </c>
      <c r="BG10"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1.2490845559868966</v>
      </c>
      <c r="BH10" s="77">
        <f t="shared" si="0"/>
        <v>1.1176245147574817</v>
      </c>
      <c r="BI10" s="56">
        <f>EXP(((Table13[[#This Row],[% GWP from other gases]]^2)*(LN(Info!$B$27))^2)^0.5)</f>
        <v>1.35</v>
      </c>
      <c r="BJ10" s="77">
        <f>Table13[[#This Row],[GWP GSD2]]^0.5</f>
        <v>1.1618950038622251</v>
      </c>
      <c r="BK10" s="56">
        <f>(Table13[[#This Row],[Percent contribution to Baseline inventory]]^2)*((LN(Table13[[#This Row],[Emission Factor GSD]]))^2)</f>
        <v>1.8823609469602742E-12</v>
      </c>
      <c r="BL10" s="56">
        <f>(Table13[[#This Row],[Percent contribution to Baseline inventory]]^2)*((LN(Table13[[#This Row],[Activity Data GSD]]))^2)</f>
        <v>1.218197578421815E-12</v>
      </c>
      <c r="BM10" s="56">
        <f>(Table13[[#This Row],[Percent contribution to Baseline inventory]]^2)*((LN(Table13[[#This Row],[GWP GSD]]))^2)</f>
        <v>3.4271723336992476E-12</v>
      </c>
      <c r="BN10" s="56">
        <f>SUM(Table13[[#This Row],[Baseline Emission Factor Uncertainty Component]:[Baseline GWP Uncertainty Component]])</f>
        <v>6.5277308590813366E-12</v>
      </c>
      <c r="BO10" s="56">
        <f>(Table13[[#This Row],[Percent contribution to Scenario 2 inventory]]^2)*((LN(Table13[[#This Row],[Emission Factor GSD]]))^2)</f>
        <v>1.8823609469602734E-12</v>
      </c>
      <c r="BP10" s="56">
        <f>(Table13[[#This Row],[Percent contribution to Scenario 2 inventory]]^2)*((LN(Table13[[#This Row],[Activity Data GSD]]))^2)</f>
        <v>1.2181975784218146E-12</v>
      </c>
      <c r="BQ10" s="56">
        <f>(Table13[[#This Row],[Percent contribution to Scenario 2 inventory]]^2)*((LN(Table13[[#This Row],[GWP GSD]]))^2)</f>
        <v>3.4271723336992464E-12</v>
      </c>
      <c r="BR10" s="56">
        <f>SUM(Table13[[#This Row],[Scenario 2 Emission Factor Uncertainty Component]:[Scenario 2 GWP Uncertainty Component]])</f>
        <v>6.5277308590813342E-12</v>
      </c>
      <c r="BS10" s="56">
        <f>(Table13[[#This Row],[Percent contribution to Scenario 3 inventory]]^2)*((LN(Table13[[#This Row],[Emission Factor GSD]]))^2)</f>
        <v>1.8823609469602742E-12</v>
      </c>
      <c r="BT10" s="56">
        <f>(Table13[[#This Row],[Percent contribution to Scenario 3 inventory]]^2)*((LN(Table13[[#This Row],[Activity Data GSD]]))^2)</f>
        <v>1.218197578421815E-12</v>
      </c>
      <c r="BU10" s="56">
        <f>(Table13[[#This Row],[Percent contribution to Scenario 3 inventory]]^2)*((LN(Table13[[#This Row],[GWP GSD]]))^2)</f>
        <v>3.4271723336992476E-12</v>
      </c>
      <c r="BV10" s="56">
        <f>SUM(Table13[[#This Row],[Scenario 3 Emission Factor Uncertainty Component]:[Scenario 3 GWP Uncertainty Component]])</f>
        <v>6.5277308590813366E-12</v>
      </c>
      <c r="BW10" s="56">
        <f>(Table13[[#This Row],[Percent contribution to Scenario 4 inventory]]^2)*((LN(Table13[[#This Row],[Emission Factor GSD]]))^2)</f>
        <v>1.882360946960275E-12</v>
      </c>
      <c r="BX10" s="56">
        <f>(Table13[[#This Row],[Percent contribution to Scenario 4 inventory]]^2)*((LN(Table13[[#This Row],[Activity Data GSD]]))^2)</f>
        <v>1.2181975784218154E-12</v>
      </c>
      <c r="BY10" s="56">
        <f>(Table13[[#This Row],[Percent contribution to Scenario 4 inventory]]^2)*((LN(Table13[[#This Row],[GWP GSD]]))^2)</f>
        <v>3.4271723336992488E-12</v>
      </c>
      <c r="BZ10" s="56">
        <f>SUM(Table13[[#This Row],[Scenario 4 Emission Factor Uncertainty Component]:[Scenario 4 GWP Uncertainty Component]])</f>
        <v>6.5277308590813391E-12</v>
      </c>
      <c r="CA10" s="56">
        <f>(Table13[[#This Row],[Percent contribution to Scenario 5 inventory]]^2)*((LN(Table13[[#This Row],[Emission Factor GSD]]))^2)</f>
        <v>1.882360946960275E-12</v>
      </c>
      <c r="CB10" s="56">
        <f>(Table13[[#This Row],[Percent contribution to Scenario 5 inventory]]^2)*((LN(Table13[[#This Row],[Activity Data GSD]]))^2)</f>
        <v>1.2181975784218156E-12</v>
      </c>
      <c r="CC10" s="56">
        <f>(Table13[[#This Row],[Percent contribution to Scenario 5 inventory]]^2)*((LN(Table13[[#This Row],[GWP GSD]]))^2)</f>
        <v>3.4271723336992496E-12</v>
      </c>
      <c r="CD10" s="56">
        <f>SUM(Table13[[#This Row],[Scenario 5 Emission Factor Uncertainty Component]:[Scenario 5 GWP Uncertainty Component]])</f>
        <v>6.5277308590813407E-12</v>
      </c>
      <c r="CE10" s="41"/>
    </row>
    <row r="11" spans="1:95" s="24" customFormat="1" ht="22.5" customHeight="1" x14ac:dyDescent="0.2">
      <c r="A11" s="32" t="s">
        <v>66</v>
      </c>
      <c r="B11" s="23" t="s">
        <v>11</v>
      </c>
      <c r="C11" s="19" t="s">
        <v>6</v>
      </c>
      <c r="D11" s="20" t="s">
        <v>1</v>
      </c>
      <c r="E11" s="20">
        <v>1997</v>
      </c>
      <c r="F11" s="20" t="s">
        <v>0</v>
      </c>
      <c r="G11" s="20" t="s">
        <v>30</v>
      </c>
      <c r="H11" s="20"/>
      <c r="I11" s="20"/>
      <c r="J11" s="20"/>
      <c r="K11" s="20"/>
      <c r="L11" s="20"/>
      <c r="M11" s="20"/>
      <c r="N11" s="49">
        <v>5.1839801920350572</v>
      </c>
      <c r="O11" s="50">
        <f>(SUM(Table13[[#This Row],[Methane emission factor]:[Unclassified gasses emission factor]]))/Table13[[#This Row],[GWP per unit]]</f>
        <v>1</v>
      </c>
      <c r="P11" s="50">
        <f>SUM(Table13[[#This Row],[CO2 emission factor]:[Unclassified gasses emission factor]])</f>
        <v>5.1839801920350572</v>
      </c>
      <c r="Q11" s="48">
        <v>0.38775999999999999</v>
      </c>
      <c r="R11" s="16"/>
      <c r="S11" s="16"/>
      <c r="T11" s="16"/>
      <c r="U11" s="27">
        <v>0.42653600000000003</v>
      </c>
      <c r="V11" s="25">
        <v>0.34898400000000002</v>
      </c>
      <c r="W11" s="20">
        <v>0.46531199999999995</v>
      </c>
      <c r="X11" s="20">
        <v>0.31020800000000004</v>
      </c>
      <c r="Y11" s="53">
        <f>IFERROR(Table13[[#This Row],[Baseline Activity]]*Table13[[#This Row],[GWP per unit]],0)</f>
        <v>2.0101401592635137</v>
      </c>
      <c r="Z11" s="21">
        <f>IFERROR(Table13[[#This Row],[Scenario 2 Activity]]*Table13[[#This Row],[GWP per unit]],0)</f>
        <v>2.2111541751898653</v>
      </c>
      <c r="AA11" s="21">
        <f>IFERROR(Table13[[#This Row],[Scenario 3 Activity]]*Table13[[#This Row],[GWP per unit]],0)</f>
        <v>1.8091261433371626</v>
      </c>
      <c r="AB11" s="21">
        <f>IFERROR(Table13[[#This Row],[Scenario 4 Activity]]*Table13[[#This Row],[GWP per unit]],0)</f>
        <v>2.4121681911162161</v>
      </c>
      <c r="AC11" s="21">
        <f>IFERROR(Table13[[#This Row],[Scenario 5 Activity]]*Table13[[#This Row],[GWP per unit]],0)</f>
        <v>1.6081121274108112</v>
      </c>
      <c r="AD11" s="54">
        <f>IF(Table13[Baseline GHG Total]="",0,Table13[Baseline GHG Total]/SUM(Table13[Baseline GHG Total]:Table13[Baseline GHG Total]))</f>
        <v>1.2922856010984975E-2</v>
      </c>
      <c r="AE11" s="54">
        <f>IF(Table13[Scenario 2 GHG Total]="",0,Table13[Scenario 2 GHG Total]/SUM(Table13[Scenario 2 GHG Total]:Table13[Scenario 2 GHG Total]))</f>
        <v>1.2922856010984973E-2</v>
      </c>
      <c r="AF11" s="54">
        <f>IF(Table13[Scenario 3 GHG Total]="",0,Table13[Scenario 3 GHG Total]/SUM(Table13[Scenario 3 GHG Total]:Table13[Scenario 3 GHG Total]))</f>
        <v>1.2922856010984977E-2</v>
      </c>
      <c r="AG11" s="54">
        <f>IF(Table13[Scenario 4 GHG Total]="",0,Table13[Scenario 4 GHG Total]/SUM(Table13[Scenario 4 GHG Total]:Table13[Scenario 4 GHG Total]))</f>
        <v>1.2922856010984973E-2</v>
      </c>
      <c r="AH11" s="54">
        <f>IF(Table13[Scenario 5 GHG Total]="",0,Table13[Scenario 5 GHG Total]/SUM(Table13[Scenario 5 GHG Total]:Table13[Scenario 5 GHG Total]))</f>
        <v>1.2922856010984978E-2</v>
      </c>
      <c r="AI11" s="20" t="s">
        <v>53</v>
      </c>
      <c r="AJ11" s="20" t="str">
        <f>Info!$B$14</f>
        <v>Poor</v>
      </c>
      <c r="AK11" s="20" t="s">
        <v>56</v>
      </c>
      <c r="AL11" s="20" t="s">
        <v>57</v>
      </c>
      <c r="AM11" s="20" t="s">
        <v>57</v>
      </c>
      <c r="AN11" s="21">
        <f>VLOOKUP($G11,Info!$A$40:$C$48,3,FALSE)</f>
        <v>1.05</v>
      </c>
      <c r="AO11" s="21">
        <f>HLOOKUP(Calculations!AI11,Info!$C$31:$F$36,2,FALSE)</f>
        <v>1.5</v>
      </c>
      <c r="AP11" s="21">
        <f>HLOOKUP(Calculations!AJ11,Info!$C$31:$F$36,3,FALSE)</f>
        <v>1.2</v>
      </c>
      <c r="AQ11" s="21">
        <f>HLOOKUP(Calculations!AK11,Info!$C$31:$F$36,4,FALSE)</f>
        <v>1.1000000000000001</v>
      </c>
      <c r="AR11" s="21">
        <f>HLOOKUP(Calculations!AL11,Info!$C$31:$F$36,5,FALSE)</f>
        <v>1.05</v>
      </c>
      <c r="AS11" s="21">
        <f>HLOOKUP(Calculations!AM11,Info!$C$31:$F$36,6,FALSE)</f>
        <v>1.5</v>
      </c>
      <c r="AT11" s="20" t="s">
        <v>55</v>
      </c>
      <c r="AU11" s="20" t="s">
        <v>56</v>
      </c>
      <c r="AV11" s="20" t="s">
        <v>56</v>
      </c>
      <c r="AW11" s="20" t="s">
        <v>57</v>
      </c>
      <c r="AX11" s="20" t="s">
        <v>56</v>
      </c>
      <c r="AY11" s="21">
        <f>VLOOKUP($G11,Info!$A$40:$C$48,3,FALSE)</f>
        <v>1.05</v>
      </c>
      <c r="AZ11" s="21">
        <f>HLOOKUP(Calculations!AT11,Info!$C$31:$F$36,2,FALSE)</f>
        <v>1</v>
      </c>
      <c r="BA11" s="21">
        <f>HLOOKUP(Calculations!AU11,Info!$C$31:$F$36,3,FALSE)</f>
        <v>1.05</v>
      </c>
      <c r="BB11" s="21">
        <f>HLOOKUP(Calculations!AV11,Info!$C$31:$F$36,4,FALSE)</f>
        <v>1.1000000000000001</v>
      </c>
      <c r="BC11" s="21">
        <f>HLOOKUP(Calculations!AW11,Info!$C$31:$F$36,5,FALSE)</f>
        <v>1.05</v>
      </c>
      <c r="BD11" s="21">
        <f>HLOOKUP(Calculations!AX11,Info!$C$31:$F$36,6,FALSE)</f>
        <v>1.2</v>
      </c>
      <c r="BE11"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1.8461432375249669</v>
      </c>
      <c r="BF11" s="77">
        <f t="shared" si="1"/>
        <v>1.3587285370981825</v>
      </c>
      <c r="BG11"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1.2490845559868966</v>
      </c>
      <c r="BH11" s="77">
        <f t="shared" si="0"/>
        <v>1.1176245147574817</v>
      </c>
      <c r="BI11" s="56">
        <f>EXP(((Table13[[#This Row],[% GWP from other gases]]^2)*(LN(Info!$B$27))^2)^0.5)</f>
        <v>1.35</v>
      </c>
      <c r="BJ11" s="77">
        <f>Table13[[#This Row],[GWP GSD2]]^0.5</f>
        <v>1.1618950038622251</v>
      </c>
      <c r="BK11" s="56">
        <f>(Table13[[#This Row],[Percent contribution to Baseline inventory]]^2)*((LN(Table13[[#This Row],[Emission Factor GSD]]))^2)</f>
        <v>2.06523398445644E-6</v>
      </c>
      <c r="BL11" s="56">
        <f>(Table13[[#This Row],[Percent contribution to Baseline inventory]]^2)*((LN(Table13[[#This Row],[Activity Data GSD]]))^2)</f>
        <v>1.5693429021175391E-5</v>
      </c>
      <c r="BM11" s="56">
        <f>(Table13[[#This Row],[Percent contribution to Baseline inventory]]^2)*((LN(Table13[[#This Row],[GWP GSD]]))^2)</f>
        <v>3.7601251691788035E-6</v>
      </c>
      <c r="BN11" s="56">
        <f>SUM(Table13[[#This Row],[Baseline Emission Factor Uncertainty Component]:[Baseline GWP Uncertainty Component]])</f>
        <v>2.1518788174810634E-5</v>
      </c>
      <c r="BO11" s="56">
        <f>(Table13[[#This Row],[Percent contribution to Scenario 2 inventory]]^2)*((LN(Table13[[#This Row],[Emission Factor GSD]]))^2)</f>
        <v>2.06523398445644E-6</v>
      </c>
      <c r="BP11" s="56">
        <f>(Table13[[#This Row],[Percent contribution to Scenario 2 inventory]]^2)*((LN(Table13[[#This Row],[Activity Data GSD]]))^2)</f>
        <v>1.5693429021175391E-5</v>
      </c>
      <c r="BQ11" s="56">
        <f>(Table13[[#This Row],[Percent contribution to Scenario 2 inventory]]^2)*((LN(Table13[[#This Row],[GWP GSD]]))^2)</f>
        <v>3.7601251691788027E-6</v>
      </c>
      <c r="BR11" s="56">
        <f>SUM(Table13[[#This Row],[Scenario 2 Emission Factor Uncertainty Component]:[Scenario 2 GWP Uncertainty Component]])</f>
        <v>2.1518788174810631E-5</v>
      </c>
      <c r="BS11" s="56">
        <f>(Table13[[#This Row],[Percent contribution to Scenario 3 inventory]]^2)*((LN(Table13[[#This Row],[Emission Factor GSD]]))^2)</f>
        <v>2.0652339844564408E-6</v>
      </c>
      <c r="BT11" s="56">
        <f>(Table13[[#This Row],[Percent contribution to Scenario 3 inventory]]^2)*((LN(Table13[[#This Row],[Activity Data GSD]]))^2)</f>
        <v>1.5693429021175397E-5</v>
      </c>
      <c r="BU11" s="56">
        <f>(Table13[[#This Row],[Percent contribution to Scenario 3 inventory]]^2)*((LN(Table13[[#This Row],[GWP GSD]]))^2)</f>
        <v>3.7601251691788048E-6</v>
      </c>
      <c r="BV11" s="56">
        <f>SUM(Table13[[#This Row],[Scenario 3 Emission Factor Uncertainty Component]:[Scenario 3 GWP Uncertainty Component]])</f>
        <v>2.1518788174810645E-5</v>
      </c>
      <c r="BW11" s="56">
        <f>(Table13[[#This Row],[Percent contribution to Scenario 4 inventory]]^2)*((LN(Table13[[#This Row],[Emission Factor GSD]]))^2)</f>
        <v>2.06523398445644E-6</v>
      </c>
      <c r="BX11" s="56">
        <f>(Table13[[#This Row],[Percent contribution to Scenario 4 inventory]]^2)*((LN(Table13[[#This Row],[Activity Data GSD]]))^2)</f>
        <v>1.5693429021175391E-5</v>
      </c>
      <c r="BY11" s="56">
        <f>(Table13[[#This Row],[Percent contribution to Scenario 4 inventory]]^2)*((LN(Table13[[#This Row],[GWP GSD]]))^2)</f>
        <v>3.7601251691788027E-6</v>
      </c>
      <c r="BZ11" s="56">
        <f>SUM(Table13[[#This Row],[Scenario 4 Emission Factor Uncertainty Component]:[Scenario 4 GWP Uncertainty Component]])</f>
        <v>2.1518788174810631E-5</v>
      </c>
      <c r="CA11" s="56">
        <f>(Table13[[#This Row],[Percent contribution to Scenario 5 inventory]]^2)*((LN(Table13[[#This Row],[Emission Factor GSD]]))^2)</f>
        <v>2.0652339844564417E-6</v>
      </c>
      <c r="CB11" s="56">
        <f>(Table13[[#This Row],[Percent contribution to Scenario 5 inventory]]^2)*((LN(Table13[[#This Row],[Activity Data GSD]]))^2)</f>
        <v>1.5693429021175401E-5</v>
      </c>
      <c r="CC11" s="56">
        <f>(Table13[[#This Row],[Percent contribution to Scenario 5 inventory]]^2)*((LN(Table13[[#This Row],[GWP GSD]]))^2)</f>
        <v>3.760125169178806E-6</v>
      </c>
      <c r="CD11" s="56">
        <f>SUM(Table13[[#This Row],[Scenario 5 Emission Factor Uncertainty Component]:[Scenario 5 GWP Uncertainty Component]])</f>
        <v>2.1518788174810648E-5</v>
      </c>
      <c r="CE11" s="41"/>
    </row>
    <row r="12" spans="1:95" s="24" customFormat="1" ht="22.5" customHeight="1" x14ac:dyDescent="0.2">
      <c r="A12" s="32" t="s">
        <v>67</v>
      </c>
      <c r="B12" s="26" t="s">
        <v>79</v>
      </c>
      <c r="C12" s="19" t="s">
        <v>6</v>
      </c>
      <c r="D12" s="20" t="s">
        <v>1</v>
      </c>
      <c r="E12" s="20">
        <v>1998</v>
      </c>
      <c r="F12" s="20" t="s">
        <v>0</v>
      </c>
      <c r="G12" s="20" t="s">
        <v>30</v>
      </c>
      <c r="H12" s="20"/>
      <c r="I12" s="20"/>
      <c r="J12" s="20"/>
      <c r="K12" s="20"/>
      <c r="L12" s="20"/>
      <c r="M12" s="20"/>
      <c r="N12" s="49">
        <v>3.4893190533238827</v>
      </c>
      <c r="O12" s="50">
        <f>(SUM(Table13[[#This Row],[Methane emission factor]:[Unclassified gasses emission factor]]))/Table13[[#This Row],[GWP per unit]]</f>
        <v>1</v>
      </c>
      <c r="P12" s="50">
        <f>SUM(Table13[[#This Row],[CO2 emission factor]:[Unclassified gasses emission factor]])</f>
        <v>3.4893190533238827</v>
      </c>
      <c r="Q12" s="48">
        <v>0.44968999999999998</v>
      </c>
      <c r="R12" s="16"/>
      <c r="S12" s="16"/>
      <c r="T12" s="16"/>
      <c r="U12" s="27">
        <v>0.49465900000000002</v>
      </c>
      <c r="V12" s="25">
        <v>0.404721</v>
      </c>
      <c r="W12" s="20">
        <v>0.539628</v>
      </c>
      <c r="X12" s="20">
        <v>0.35975200000000002</v>
      </c>
      <c r="Y12" s="53">
        <f>IFERROR(Table13[[#This Row],[Baseline Activity]]*Table13[[#This Row],[GWP per unit]],0)</f>
        <v>1.5691118850892167</v>
      </c>
      <c r="Z12" s="21">
        <f>IFERROR(Table13[[#This Row],[Scenario 2 Activity]]*Table13[[#This Row],[GWP per unit]],0)</f>
        <v>1.7260230735981386</v>
      </c>
      <c r="AA12" s="21">
        <f>IFERROR(Table13[[#This Row],[Scenario 3 Activity]]*Table13[[#This Row],[GWP per unit]],0)</f>
        <v>1.4122006965802951</v>
      </c>
      <c r="AB12" s="21">
        <f>IFERROR(Table13[[#This Row],[Scenario 4 Activity]]*Table13[[#This Row],[GWP per unit]],0)</f>
        <v>1.8829342621070602</v>
      </c>
      <c r="AC12" s="21">
        <f>IFERROR(Table13[[#This Row],[Scenario 5 Activity]]*Table13[[#This Row],[GWP per unit]],0)</f>
        <v>1.2552895080713735</v>
      </c>
      <c r="AD12" s="54">
        <f>IF(Table13[Baseline GHG Total]="",0,Table13[Baseline GHG Total]/SUM(Table13[Baseline GHG Total]:Table13[Baseline GHG Total]))</f>
        <v>1.0087558751904393E-2</v>
      </c>
      <c r="AE12" s="54">
        <f>IF(Table13[Scenario 2 GHG Total]="",0,Table13[Scenario 2 GHG Total]/SUM(Table13[Scenario 2 GHG Total]:Table13[Scenario 2 GHG Total]))</f>
        <v>1.0087558751904391E-2</v>
      </c>
      <c r="AF12" s="54">
        <f>IF(Table13[Scenario 3 GHG Total]="",0,Table13[Scenario 3 GHG Total]/SUM(Table13[Scenario 3 GHG Total]:Table13[Scenario 3 GHG Total]))</f>
        <v>1.0087558751904395E-2</v>
      </c>
      <c r="AG12" s="54">
        <f>IF(Table13[Scenario 4 GHG Total]="",0,Table13[Scenario 4 GHG Total]/SUM(Table13[Scenario 4 GHG Total]:Table13[Scenario 4 GHG Total]))</f>
        <v>1.0087558751904395E-2</v>
      </c>
      <c r="AH12" s="54">
        <f>IF(Table13[Scenario 5 GHG Total]="",0,Table13[Scenario 5 GHG Total]/SUM(Table13[Scenario 5 GHG Total]:Table13[Scenario 5 GHG Total]))</f>
        <v>1.0087558751904395E-2</v>
      </c>
      <c r="AI12" s="20" t="s">
        <v>57</v>
      </c>
      <c r="AJ12" s="20" t="s">
        <v>55</v>
      </c>
      <c r="AK12" s="20" t="s">
        <v>56</v>
      </c>
      <c r="AL12" s="20" t="str">
        <f>Info!$B$16</f>
        <v>Poor</v>
      </c>
      <c r="AM12" s="20" t="str">
        <f>Info!$B$17</f>
        <v>Poor</v>
      </c>
      <c r="AN12" s="21">
        <f>VLOOKUP($G12,Info!$A$40:$C$48,3,FALSE)</f>
        <v>1.05</v>
      </c>
      <c r="AO12" s="21">
        <f>HLOOKUP(Calculations!AI12,Info!$C$31:$F$36,2,FALSE)</f>
        <v>1.2</v>
      </c>
      <c r="AP12" s="21">
        <f>HLOOKUP(Calculations!AJ12,Info!$C$31:$F$36,3,FALSE)</f>
        <v>1</v>
      </c>
      <c r="AQ12" s="21">
        <f>HLOOKUP(Calculations!AK12,Info!$C$31:$F$36,4,FALSE)</f>
        <v>1.1000000000000001</v>
      </c>
      <c r="AR12" s="21">
        <f>HLOOKUP(Calculations!AL12,Info!$C$31:$F$36,5,FALSE)</f>
        <v>1.1000000000000001</v>
      </c>
      <c r="AS12" s="21">
        <f>HLOOKUP(Calculations!AM12,Info!$C$31:$F$36,6,FALSE)</f>
        <v>2</v>
      </c>
      <c r="AT12" s="20" t="str">
        <f>Info!$B$20</f>
        <v>Poor</v>
      </c>
      <c r="AU12" s="20" t="str">
        <f>Info!$B$21</f>
        <v>Poor</v>
      </c>
      <c r="AV12" s="20" t="s">
        <v>57</v>
      </c>
      <c r="AW12" s="20" t="str">
        <f>Info!$B$23</f>
        <v>Poor</v>
      </c>
      <c r="AX12" s="20" t="str">
        <f>Info!$B$24</f>
        <v>Poor</v>
      </c>
      <c r="AY12" s="21">
        <f>VLOOKUP($G12,Info!$A$40:$C$48,3,FALSE)</f>
        <v>1.05</v>
      </c>
      <c r="AZ12" s="21">
        <f>HLOOKUP(Calculations!AT12,Info!$C$31:$F$36,2,FALSE)</f>
        <v>1.5</v>
      </c>
      <c r="BA12" s="21">
        <f>HLOOKUP(Calculations!AU12,Info!$C$31:$F$36,3,FALSE)</f>
        <v>1.2</v>
      </c>
      <c r="BB12" s="21">
        <f>HLOOKUP(Calculations!AV12,Info!$C$31:$F$36,4,FALSE)</f>
        <v>1.2</v>
      </c>
      <c r="BC12" s="21">
        <f>HLOOKUP(Calculations!AW12,Info!$C$31:$F$36,5,FALSE)</f>
        <v>1.1000000000000001</v>
      </c>
      <c r="BD12" s="21">
        <f>HLOOKUP(Calculations!AX12,Info!$C$31:$F$36,6,FALSE)</f>
        <v>2</v>
      </c>
      <c r="BE12"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2.076988654206315</v>
      </c>
      <c r="BF12" s="77">
        <f t="shared" si="1"/>
        <v>1.4411761357330044</v>
      </c>
      <c r="BG12"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2.3400621718935826</v>
      </c>
      <c r="BH12" s="77">
        <f t="shared" si="0"/>
        <v>1.5297261754619951</v>
      </c>
      <c r="BI12" s="56">
        <f>EXP(((Table13[[#This Row],[% GWP from other gases]]^2)*(LN(Info!$B$27))^2)^0.5)</f>
        <v>1.35</v>
      </c>
      <c r="BJ12" s="77">
        <f>Table13[[#This Row],[GWP GSD2]]^0.5</f>
        <v>1.1618950038622251</v>
      </c>
      <c r="BK12" s="56">
        <f>(Table13[[#This Row],[Percent contribution to Baseline inventory]]^2)*((LN(Table13[[#This Row],[Emission Factor GSD]]))^2)</f>
        <v>1.8387867915488832E-5</v>
      </c>
      <c r="BL12" s="56">
        <f>(Table13[[#This Row],[Percent contribution to Baseline inventory]]^2)*((LN(Table13[[#This Row],[Activity Data GSD]]))^2)</f>
        <v>1.3590979691318568E-5</v>
      </c>
      <c r="BM12" s="56">
        <f>(Table13[[#This Row],[Percent contribution to Baseline inventory]]^2)*((LN(Table13[[#This Row],[GWP GSD]]))^2)</f>
        <v>2.2911706946825853E-6</v>
      </c>
      <c r="BN12" s="56">
        <f>SUM(Table13[[#This Row],[Baseline Emission Factor Uncertainty Component]:[Baseline GWP Uncertainty Component]])</f>
        <v>3.4270018301489985E-5</v>
      </c>
      <c r="BO12" s="56">
        <f>(Table13[[#This Row],[Percent contribution to Scenario 2 inventory]]^2)*((LN(Table13[[#This Row],[Emission Factor GSD]]))^2)</f>
        <v>1.8387867915488826E-5</v>
      </c>
      <c r="BP12" s="56">
        <f>(Table13[[#This Row],[Percent contribution to Scenario 2 inventory]]^2)*((LN(Table13[[#This Row],[Activity Data GSD]]))^2)</f>
        <v>1.3590979691318562E-5</v>
      </c>
      <c r="BQ12" s="56">
        <f>(Table13[[#This Row],[Percent contribution to Scenario 2 inventory]]^2)*((LN(Table13[[#This Row],[GWP GSD]]))^2)</f>
        <v>2.2911706946825844E-6</v>
      </c>
      <c r="BR12" s="56">
        <f>SUM(Table13[[#This Row],[Scenario 2 Emission Factor Uncertainty Component]:[Scenario 2 GWP Uncertainty Component]])</f>
        <v>3.4270018301489971E-5</v>
      </c>
      <c r="BS12" s="56">
        <f>(Table13[[#This Row],[Percent contribution to Scenario 3 inventory]]^2)*((LN(Table13[[#This Row],[Emission Factor GSD]]))^2)</f>
        <v>1.8387867915488839E-5</v>
      </c>
      <c r="BT12" s="56">
        <f>(Table13[[#This Row],[Percent contribution to Scenario 3 inventory]]^2)*((LN(Table13[[#This Row],[Activity Data GSD]]))^2)</f>
        <v>1.3590979691318571E-5</v>
      </c>
      <c r="BU12" s="56">
        <f>(Table13[[#This Row],[Percent contribution to Scenario 3 inventory]]^2)*((LN(Table13[[#This Row],[GWP GSD]]))^2)</f>
        <v>2.2911706946825857E-6</v>
      </c>
      <c r="BV12" s="56">
        <f>SUM(Table13[[#This Row],[Scenario 3 Emission Factor Uncertainty Component]:[Scenario 3 GWP Uncertainty Component]])</f>
        <v>3.4270018301489998E-5</v>
      </c>
      <c r="BW12" s="56">
        <f>(Table13[[#This Row],[Percent contribution to Scenario 4 inventory]]^2)*((LN(Table13[[#This Row],[Emission Factor GSD]]))^2)</f>
        <v>1.8387867915488839E-5</v>
      </c>
      <c r="BX12" s="56">
        <f>(Table13[[#This Row],[Percent contribution to Scenario 4 inventory]]^2)*((LN(Table13[[#This Row],[Activity Data GSD]]))^2)</f>
        <v>1.3590979691318571E-5</v>
      </c>
      <c r="BY12" s="56">
        <f>(Table13[[#This Row],[Percent contribution to Scenario 4 inventory]]^2)*((LN(Table13[[#This Row],[GWP GSD]]))^2)</f>
        <v>2.2911706946825857E-6</v>
      </c>
      <c r="BZ12" s="56">
        <f>SUM(Table13[[#This Row],[Scenario 4 Emission Factor Uncertainty Component]:[Scenario 4 GWP Uncertainty Component]])</f>
        <v>3.4270018301489998E-5</v>
      </c>
      <c r="CA12" s="56">
        <f>(Table13[[#This Row],[Percent contribution to Scenario 5 inventory]]^2)*((LN(Table13[[#This Row],[Emission Factor GSD]]))^2)</f>
        <v>1.8387867915488839E-5</v>
      </c>
      <c r="CB12" s="56">
        <f>(Table13[[#This Row],[Percent contribution to Scenario 5 inventory]]^2)*((LN(Table13[[#This Row],[Activity Data GSD]]))^2)</f>
        <v>1.3590979691318571E-5</v>
      </c>
      <c r="CC12" s="56">
        <f>(Table13[[#This Row],[Percent contribution to Scenario 5 inventory]]^2)*((LN(Table13[[#This Row],[GWP GSD]]))^2)</f>
        <v>2.2911706946825857E-6</v>
      </c>
      <c r="CD12" s="56">
        <f>SUM(Table13[[#This Row],[Scenario 5 Emission Factor Uncertainty Component]:[Scenario 5 GWP Uncertainty Component]])</f>
        <v>3.4270018301489998E-5</v>
      </c>
      <c r="CE12" s="41"/>
    </row>
    <row r="13" spans="1:95" s="24" customFormat="1" ht="22.5" customHeight="1" x14ac:dyDescent="0.2">
      <c r="A13" s="32" t="s">
        <v>68</v>
      </c>
      <c r="B13" s="26" t="s">
        <v>78</v>
      </c>
      <c r="C13" s="19" t="s">
        <v>6</v>
      </c>
      <c r="D13" s="20" t="s">
        <v>1</v>
      </c>
      <c r="E13" s="20">
        <v>1999</v>
      </c>
      <c r="F13" s="20" t="s">
        <v>0</v>
      </c>
      <c r="G13" s="20" t="s">
        <v>30</v>
      </c>
      <c r="H13" s="20"/>
      <c r="I13" s="20"/>
      <c r="J13" s="20"/>
      <c r="K13" s="20"/>
      <c r="L13" s="20"/>
      <c r="M13" s="20"/>
      <c r="N13" s="49">
        <v>9.2114836936348823</v>
      </c>
      <c r="O13" s="50">
        <f>(SUM(Table13[[#This Row],[Methane emission factor]:[Unclassified gasses emission factor]]))/Table13[[#This Row],[GWP per unit]]</f>
        <v>1</v>
      </c>
      <c r="P13" s="50">
        <f>SUM(Table13[[#This Row],[CO2 emission factor]:[Unclassified gasses emission factor]])</f>
        <v>9.2114836936348823</v>
      </c>
      <c r="Q13" s="48">
        <v>2.7730000000000001E-2</v>
      </c>
      <c r="R13" s="16"/>
      <c r="S13" s="16"/>
      <c r="T13" s="16"/>
      <c r="U13" s="27">
        <v>3.0503000000000002E-2</v>
      </c>
      <c r="V13" s="25">
        <v>2.4957E-2</v>
      </c>
      <c r="W13" s="20">
        <v>3.3276E-2</v>
      </c>
      <c r="X13" s="20">
        <v>2.2184000000000002E-2</v>
      </c>
      <c r="Y13" s="53">
        <f>IFERROR(Table13[[#This Row],[Baseline Activity]]*Table13[[#This Row],[GWP per unit]],0)</f>
        <v>0.25543444282449529</v>
      </c>
      <c r="Z13" s="21">
        <f>IFERROR(Table13[[#This Row],[Scenario 2 Activity]]*Table13[[#This Row],[GWP per unit]],0)</f>
        <v>0.28097788710694482</v>
      </c>
      <c r="AA13" s="21">
        <f>IFERROR(Table13[[#This Row],[Scenario 3 Activity]]*Table13[[#This Row],[GWP per unit]],0)</f>
        <v>0.22989099854204575</v>
      </c>
      <c r="AB13" s="21">
        <f>IFERROR(Table13[[#This Row],[Scenario 4 Activity]]*Table13[[#This Row],[GWP per unit]],0)</f>
        <v>0.30652133138939436</v>
      </c>
      <c r="AC13" s="21">
        <f>IFERROR(Table13[[#This Row],[Scenario 5 Activity]]*Table13[[#This Row],[GWP per unit]],0)</f>
        <v>0.20434755425959625</v>
      </c>
      <c r="AD13" s="54">
        <f>IF(Table13[Baseline GHG Total]="",0,Table13[Baseline GHG Total]/SUM(Table13[Baseline GHG Total]:Table13[Baseline GHG Total]))</f>
        <v>1.6421454542137719E-3</v>
      </c>
      <c r="AE13" s="54">
        <f>IF(Table13[Scenario 2 GHG Total]="",0,Table13[Scenario 2 GHG Total]/SUM(Table13[Scenario 2 GHG Total]:Table13[Scenario 2 GHG Total]))</f>
        <v>1.6421454542137716E-3</v>
      </c>
      <c r="AF13" s="54">
        <f>IF(Table13[Scenario 3 GHG Total]="",0,Table13[Scenario 3 GHG Total]/SUM(Table13[Scenario 3 GHG Total]:Table13[Scenario 3 GHG Total]))</f>
        <v>1.6421454542137721E-3</v>
      </c>
      <c r="AG13" s="54">
        <f>IF(Table13[Scenario 4 GHG Total]="",0,Table13[Scenario 4 GHG Total]/SUM(Table13[Scenario 4 GHG Total]:Table13[Scenario 4 GHG Total]))</f>
        <v>1.6421454542137721E-3</v>
      </c>
      <c r="AH13" s="54">
        <f>IF(Table13[Scenario 5 GHG Total]="",0,Table13[Scenario 5 GHG Total]/SUM(Table13[Scenario 5 GHG Total]:Table13[Scenario 5 GHG Total]))</f>
        <v>1.6421454542137723E-3</v>
      </c>
      <c r="AI13" s="20" t="str">
        <f>Info!$B$13</f>
        <v>Poor</v>
      </c>
      <c r="AJ13" s="20" t="str">
        <f>Info!$B$14</f>
        <v>Poor</v>
      </c>
      <c r="AK13" s="20" t="s">
        <v>56</v>
      </c>
      <c r="AL13" s="20" t="str">
        <f>Info!$B$16</f>
        <v>Poor</v>
      </c>
      <c r="AM13" s="20" t="str">
        <f>Info!$B$17</f>
        <v>Poor</v>
      </c>
      <c r="AN13" s="21">
        <f>VLOOKUP($G13,Info!$A$40:$C$48,3,FALSE)</f>
        <v>1.05</v>
      </c>
      <c r="AO13" s="21">
        <f>HLOOKUP(Calculations!AI13,Info!$C$31:$F$36,2,FALSE)</f>
        <v>1.5</v>
      </c>
      <c r="AP13" s="21">
        <f>HLOOKUP(Calculations!AJ13,Info!$C$31:$F$36,3,FALSE)</f>
        <v>1.2</v>
      </c>
      <c r="AQ13" s="21">
        <f>HLOOKUP(Calculations!AK13,Info!$C$31:$F$36,4,FALSE)</f>
        <v>1.1000000000000001</v>
      </c>
      <c r="AR13" s="21">
        <f>HLOOKUP(Calculations!AL13,Info!$C$31:$F$36,5,FALSE)</f>
        <v>1.1000000000000001</v>
      </c>
      <c r="AS13" s="21">
        <f>HLOOKUP(Calculations!AM13,Info!$C$31:$F$36,6,FALSE)</f>
        <v>2</v>
      </c>
      <c r="AT13" s="20" t="s">
        <v>57</v>
      </c>
      <c r="AU13" s="20" t="s">
        <v>57</v>
      </c>
      <c r="AV13" s="20" t="s">
        <v>57</v>
      </c>
      <c r="AW13" s="20" t="s">
        <v>57</v>
      </c>
      <c r="AX13" s="20" t="s">
        <v>57</v>
      </c>
      <c r="AY13" s="21">
        <f>VLOOKUP($G13,Info!$A$40:$C$48,3,FALSE)</f>
        <v>1.05</v>
      </c>
      <c r="AZ13" s="21">
        <f>HLOOKUP(Calculations!AT13,Info!$C$31:$F$36,2,FALSE)</f>
        <v>1.2</v>
      </c>
      <c r="BA13" s="21">
        <f>HLOOKUP(Calculations!AU13,Info!$C$31:$F$36,3,FALSE)</f>
        <v>1.1000000000000001</v>
      </c>
      <c r="BB13" s="21">
        <f>HLOOKUP(Calculations!AV13,Info!$C$31:$F$36,4,FALSE)</f>
        <v>1.2</v>
      </c>
      <c r="BC13" s="21">
        <f>HLOOKUP(Calculations!AW13,Info!$C$31:$F$36,5,FALSE)</f>
        <v>1.05</v>
      </c>
      <c r="BD13" s="21">
        <f>HLOOKUP(Calculations!AX13,Info!$C$31:$F$36,6,FALSE)</f>
        <v>1.5</v>
      </c>
      <c r="BE13"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2.3067731951631232</v>
      </c>
      <c r="BF13" s="77">
        <f t="shared" si="1"/>
        <v>1.5188065035293743</v>
      </c>
      <c r="BG13"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1.6400080773205654</v>
      </c>
      <c r="BH13" s="77">
        <f t="shared" si="0"/>
        <v>1.2806280011465334</v>
      </c>
      <c r="BI13" s="56">
        <f>EXP(((Table13[[#This Row],[% GWP from other gases]]^2)*(LN(Info!$B$27))^2)^0.5)</f>
        <v>1.35</v>
      </c>
      <c r="BJ13" s="77">
        <f>Table13[[#This Row],[GWP GSD2]]^0.5</f>
        <v>1.1618950038622251</v>
      </c>
      <c r="BK13" s="56">
        <f>(Table13[[#This Row],[Percent contribution to Baseline inventory]]^2)*((LN(Table13[[#This Row],[Emission Factor GSD]]))^2)</f>
        <v>1.6498677114262199E-7</v>
      </c>
      <c r="BL13" s="56">
        <f>(Table13[[#This Row],[Percent contribution to Baseline inventory]]^2)*((LN(Table13[[#This Row],[Activity Data GSD]]))^2)</f>
        <v>4.7099857880943861E-7</v>
      </c>
      <c r="BM13" s="56">
        <f>(Table13[[#This Row],[Percent contribution to Baseline inventory]]^2)*((LN(Table13[[#This Row],[GWP GSD]]))^2)</f>
        <v>6.0716752717268837E-8</v>
      </c>
      <c r="BN13" s="56">
        <f>SUM(Table13[[#This Row],[Baseline Emission Factor Uncertainty Component]:[Baseline GWP Uncertainty Component]])</f>
        <v>6.967021026693295E-7</v>
      </c>
      <c r="BO13" s="56">
        <f>(Table13[[#This Row],[Percent contribution to Scenario 2 inventory]]^2)*((LN(Table13[[#This Row],[Emission Factor GSD]]))^2)</f>
        <v>1.6498677114262196E-7</v>
      </c>
      <c r="BP13" s="56">
        <f>(Table13[[#This Row],[Percent contribution to Scenario 2 inventory]]^2)*((LN(Table13[[#This Row],[Activity Data GSD]]))^2)</f>
        <v>4.7099857880943855E-7</v>
      </c>
      <c r="BQ13" s="56">
        <f>(Table13[[#This Row],[Percent contribution to Scenario 2 inventory]]^2)*((LN(Table13[[#This Row],[GWP GSD]]))^2)</f>
        <v>6.0716752717268824E-8</v>
      </c>
      <c r="BR13" s="56">
        <f>SUM(Table13[[#This Row],[Scenario 2 Emission Factor Uncertainty Component]:[Scenario 2 GWP Uncertainty Component]])</f>
        <v>6.9670210266932929E-7</v>
      </c>
      <c r="BS13" s="56">
        <f>(Table13[[#This Row],[Percent contribution to Scenario 3 inventory]]^2)*((LN(Table13[[#This Row],[Emission Factor GSD]]))^2)</f>
        <v>1.6498677114262204E-7</v>
      </c>
      <c r="BT13" s="56">
        <f>(Table13[[#This Row],[Percent contribution to Scenario 3 inventory]]^2)*((LN(Table13[[#This Row],[Activity Data GSD]]))^2)</f>
        <v>4.7099857880943877E-7</v>
      </c>
      <c r="BU13" s="56">
        <f>(Table13[[#This Row],[Percent contribution to Scenario 3 inventory]]^2)*((LN(Table13[[#This Row],[GWP GSD]]))^2)</f>
        <v>6.071675271726885E-8</v>
      </c>
      <c r="BV13" s="56">
        <f>SUM(Table13[[#This Row],[Scenario 3 Emission Factor Uncertainty Component]:[Scenario 3 GWP Uncertainty Component]])</f>
        <v>6.9670210266932971E-7</v>
      </c>
      <c r="BW13" s="56">
        <f>(Table13[[#This Row],[Percent contribution to Scenario 4 inventory]]^2)*((LN(Table13[[#This Row],[Emission Factor GSD]]))^2)</f>
        <v>1.6498677114262204E-7</v>
      </c>
      <c r="BX13" s="56">
        <f>(Table13[[#This Row],[Percent contribution to Scenario 4 inventory]]^2)*((LN(Table13[[#This Row],[Activity Data GSD]]))^2)</f>
        <v>4.7099857880943877E-7</v>
      </c>
      <c r="BY13" s="56">
        <f>(Table13[[#This Row],[Percent contribution to Scenario 4 inventory]]^2)*((LN(Table13[[#This Row],[GWP GSD]]))^2)</f>
        <v>6.071675271726885E-8</v>
      </c>
      <c r="BZ13" s="56">
        <f>SUM(Table13[[#This Row],[Scenario 4 Emission Factor Uncertainty Component]:[Scenario 4 GWP Uncertainty Component]])</f>
        <v>6.9670210266932971E-7</v>
      </c>
      <c r="CA13" s="56">
        <f>(Table13[[#This Row],[Percent contribution to Scenario 5 inventory]]^2)*((LN(Table13[[#This Row],[Emission Factor GSD]]))^2)</f>
        <v>1.6498677114262209E-7</v>
      </c>
      <c r="CB13" s="56">
        <f>(Table13[[#This Row],[Percent contribution to Scenario 5 inventory]]^2)*((LN(Table13[[#This Row],[Activity Data GSD]]))^2)</f>
        <v>4.7099857880943892E-7</v>
      </c>
      <c r="CC13" s="56">
        <f>(Table13[[#This Row],[Percent contribution to Scenario 5 inventory]]^2)*((LN(Table13[[#This Row],[GWP GSD]]))^2)</f>
        <v>6.0716752717268877E-8</v>
      </c>
      <c r="CD13" s="56">
        <f>SUM(Table13[[#This Row],[Scenario 5 Emission Factor Uncertainty Component]:[Scenario 5 GWP Uncertainty Component]])</f>
        <v>6.9670210266932992E-7</v>
      </c>
      <c r="CE13" s="41"/>
    </row>
    <row r="14" spans="1:95" s="24" customFormat="1" ht="22.5" customHeight="1" x14ac:dyDescent="0.2">
      <c r="A14" s="32" t="s">
        <v>69</v>
      </c>
      <c r="B14" s="28" t="s">
        <v>76</v>
      </c>
      <c r="C14" s="19" t="s">
        <v>6</v>
      </c>
      <c r="D14" s="20" t="s">
        <v>1</v>
      </c>
      <c r="E14" s="20">
        <v>2000</v>
      </c>
      <c r="F14" s="20" t="s">
        <v>0</v>
      </c>
      <c r="G14" s="20" t="s">
        <v>30</v>
      </c>
      <c r="H14" s="20"/>
      <c r="I14" s="20"/>
      <c r="J14" s="20"/>
      <c r="K14" s="20"/>
      <c r="L14" s="20"/>
      <c r="M14" s="20"/>
      <c r="N14" s="49">
        <v>4.5677193781710201</v>
      </c>
      <c r="O14" s="50">
        <f>(SUM(Table13[[#This Row],[Methane emission factor]:[Unclassified gasses emission factor]]))/Table13[[#This Row],[GWP per unit]]</f>
        <v>1</v>
      </c>
      <c r="P14" s="50">
        <f>SUM(Table13[[#This Row],[CO2 emission factor]:[Unclassified gasses emission factor]])</f>
        <v>4.5677193781710201</v>
      </c>
      <c r="Q14" s="48">
        <v>6.28E-3</v>
      </c>
      <c r="R14" s="16"/>
      <c r="S14" s="16"/>
      <c r="T14" s="16"/>
      <c r="U14" s="27">
        <v>6.9080000000000009E-3</v>
      </c>
      <c r="V14" s="25">
        <v>5.6519999999999999E-3</v>
      </c>
      <c r="W14" s="20">
        <v>7.5359999999999993E-3</v>
      </c>
      <c r="X14" s="20">
        <v>5.0240000000000007E-3</v>
      </c>
      <c r="Y14" s="53">
        <f>IFERROR(Table13[[#This Row],[Baseline Activity]]*Table13[[#This Row],[GWP per unit]],0)</f>
        <v>2.8685277694914007E-2</v>
      </c>
      <c r="Z14" s="21">
        <f>IFERROR(Table13[[#This Row],[Scenario 2 Activity]]*Table13[[#This Row],[GWP per unit]],0)</f>
        <v>3.1553805464405414E-2</v>
      </c>
      <c r="AA14" s="21">
        <f>IFERROR(Table13[[#This Row],[Scenario 3 Activity]]*Table13[[#This Row],[GWP per unit]],0)</f>
        <v>2.5816749925422607E-2</v>
      </c>
      <c r="AB14" s="21">
        <f>IFERROR(Table13[[#This Row],[Scenario 4 Activity]]*Table13[[#This Row],[GWP per unit]],0)</f>
        <v>3.4422333233896804E-2</v>
      </c>
      <c r="AC14" s="21">
        <f>IFERROR(Table13[[#This Row],[Scenario 5 Activity]]*Table13[[#This Row],[GWP per unit]],0)</f>
        <v>2.294822215593121E-2</v>
      </c>
      <c r="AD14" s="54">
        <f>IF(Table13[Baseline GHG Total]="",0,Table13[Baseline GHG Total]/SUM(Table13[Baseline GHG Total]:Table13[Baseline GHG Total]))</f>
        <v>1.8441286871374692E-4</v>
      </c>
      <c r="AE14" s="54">
        <f>IF(Table13[Scenario 2 GHG Total]="",0,Table13[Scenario 2 GHG Total]/SUM(Table13[Scenario 2 GHG Total]:Table13[Scenario 2 GHG Total]))</f>
        <v>1.8441286871374692E-4</v>
      </c>
      <c r="AF14" s="54">
        <f>IF(Table13[Scenario 3 GHG Total]="",0,Table13[Scenario 3 GHG Total]/SUM(Table13[Scenario 3 GHG Total]:Table13[Scenario 3 GHG Total]))</f>
        <v>1.8441286871374694E-4</v>
      </c>
      <c r="AG14" s="54">
        <f>IF(Table13[Scenario 4 GHG Total]="",0,Table13[Scenario 4 GHG Total]/SUM(Table13[Scenario 4 GHG Total]:Table13[Scenario 4 GHG Total]))</f>
        <v>1.8441286871374692E-4</v>
      </c>
      <c r="AH14" s="54">
        <f>IF(Table13[Scenario 5 GHG Total]="",0,Table13[Scenario 5 GHG Total]/SUM(Table13[Scenario 5 GHG Total]:Table13[Scenario 5 GHG Total]))</f>
        <v>1.8441286871374697E-4</v>
      </c>
      <c r="AI14" s="20" t="s">
        <v>57</v>
      </c>
      <c r="AJ14" s="20" t="s">
        <v>56</v>
      </c>
      <c r="AK14" s="20" t="s">
        <v>57</v>
      </c>
      <c r="AL14" s="20" t="s">
        <v>56</v>
      </c>
      <c r="AM14" s="20" t="s">
        <v>55</v>
      </c>
      <c r="AN14" s="21">
        <f>VLOOKUP($G14,Info!$A$40:$C$48,3,FALSE)</f>
        <v>1.05</v>
      </c>
      <c r="AO14" s="21">
        <f>HLOOKUP(Calculations!AI14,Info!$C$31:$F$36,2,FALSE)</f>
        <v>1.2</v>
      </c>
      <c r="AP14" s="21">
        <f>HLOOKUP(Calculations!AJ14,Info!$C$31:$F$36,3,FALSE)</f>
        <v>1.05</v>
      </c>
      <c r="AQ14" s="21">
        <f>HLOOKUP(Calculations!AK14,Info!$C$31:$F$36,4,FALSE)</f>
        <v>1.2</v>
      </c>
      <c r="AR14" s="21">
        <f>HLOOKUP(Calculations!AL14,Info!$C$31:$F$36,5,FALSE)</f>
        <v>1.02</v>
      </c>
      <c r="AS14" s="21">
        <f>HLOOKUP(Calculations!AM14,Info!$C$31:$F$36,6,FALSE)</f>
        <v>1</v>
      </c>
      <c r="AT14" s="20" t="str">
        <f>Info!$B$20</f>
        <v>Poor</v>
      </c>
      <c r="AU14" s="20" t="s">
        <v>56</v>
      </c>
      <c r="AV14" s="20" t="str">
        <f>Info!$B$22</f>
        <v>Poor</v>
      </c>
      <c r="AW14" s="20" t="s">
        <v>56</v>
      </c>
      <c r="AX14" s="20" t="s">
        <v>55</v>
      </c>
      <c r="AY14" s="21">
        <f>VLOOKUP($G14,Info!$A$40:$C$48,3,FALSE)</f>
        <v>1.05</v>
      </c>
      <c r="AZ14" s="21">
        <f>HLOOKUP(Calculations!AT14,Info!$C$31:$F$36,2,FALSE)</f>
        <v>1.5</v>
      </c>
      <c r="BA14" s="21">
        <f>HLOOKUP(Calculations!AU14,Info!$C$31:$F$36,3,FALSE)</f>
        <v>1.05</v>
      </c>
      <c r="BB14" s="21">
        <f>HLOOKUP(Calculations!AV14,Info!$C$31:$F$36,4,FALSE)</f>
        <v>1.5</v>
      </c>
      <c r="BC14" s="21">
        <f>HLOOKUP(Calculations!AW14,Info!$C$31:$F$36,5,FALSE)</f>
        <v>1.02</v>
      </c>
      <c r="BD14" s="21">
        <f>HLOOKUP(Calculations!AX14,Info!$C$31:$F$36,6,FALSE)</f>
        <v>1</v>
      </c>
      <c r="BE14"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1.3068869189023089</v>
      </c>
      <c r="BF14" s="77">
        <f t="shared" si="1"/>
        <v>1.1431915495236609</v>
      </c>
      <c r="BG14"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1.78227410936481</v>
      </c>
      <c r="BH14" s="77">
        <f t="shared" si="0"/>
        <v>1.3350183928938246</v>
      </c>
      <c r="BI14" s="56">
        <f>EXP(((Table13[[#This Row],[% GWP from other gases]]^2)*(LN(Info!$B$27))^2)^0.5)</f>
        <v>1.35</v>
      </c>
      <c r="BJ14" s="77">
        <f>Table13[[#This Row],[GWP GSD2]]^0.5</f>
        <v>1.1618950038622251</v>
      </c>
      <c r="BK14" s="56">
        <f>(Table13[[#This Row],[Percent contribution to Baseline inventory]]^2)*((LN(Table13[[#This Row],[Emission Factor GSD]]))^2)</f>
        <v>2.8393113788023365E-9</v>
      </c>
      <c r="BL14" s="56">
        <f>(Table13[[#This Row],[Percent contribution to Baseline inventory]]^2)*((LN(Table13[[#This Row],[Activity Data GSD]]))^2)</f>
        <v>6.0904610944510359E-10</v>
      </c>
      <c r="BM14" s="56">
        <f>(Table13[[#This Row],[Percent contribution to Baseline inventory]]^2)*((LN(Table13[[#This Row],[GWP GSD]]))^2)</f>
        <v>7.657160299943573E-10</v>
      </c>
      <c r="BN14" s="56">
        <f>SUM(Table13[[#This Row],[Baseline Emission Factor Uncertainty Component]:[Baseline GWP Uncertainty Component]])</f>
        <v>4.2140735182417975E-9</v>
      </c>
      <c r="BO14" s="56">
        <f>(Table13[[#This Row],[Percent contribution to Scenario 2 inventory]]^2)*((LN(Table13[[#This Row],[Emission Factor GSD]]))^2)</f>
        <v>2.8393113788023365E-9</v>
      </c>
      <c r="BP14" s="56">
        <f>(Table13[[#This Row],[Percent contribution to Scenario 2 inventory]]^2)*((LN(Table13[[#This Row],[Activity Data GSD]]))^2)</f>
        <v>6.0904610944510359E-10</v>
      </c>
      <c r="BQ14" s="56">
        <f>(Table13[[#This Row],[Percent contribution to Scenario 2 inventory]]^2)*((LN(Table13[[#This Row],[GWP GSD]]))^2)</f>
        <v>7.657160299943573E-10</v>
      </c>
      <c r="BR14" s="56">
        <f>SUM(Table13[[#This Row],[Scenario 2 Emission Factor Uncertainty Component]:[Scenario 2 GWP Uncertainty Component]])</f>
        <v>4.2140735182417975E-9</v>
      </c>
      <c r="BS14" s="56">
        <f>(Table13[[#This Row],[Percent contribution to Scenario 3 inventory]]^2)*((LN(Table13[[#This Row],[Emission Factor GSD]]))^2)</f>
        <v>2.8393113788023373E-9</v>
      </c>
      <c r="BT14" s="56">
        <f>(Table13[[#This Row],[Percent contribution to Scenario 3 inventory]]^2)*((LN(Table13[[#This Row],[Activity Data GSD]]))^2)</f>
        <v>6.0904610944510369E-10</v>
      </c>
      <c r="BU14" s="56">
        <f>(Table13[[#This Row],[Percent contribution to Scenario 3 inventory]]^2)*((LN(Table13[[#This Row],[GWP GSD]]))^2)</f>
        <v>7.6571602999435751E-10</v>
      </c>
      <c r="BV14" s="56">
        <f>SUM(Table13[[#This Row],[Scenario 3 Emission Factor Uncertainty Component]:[Scenario 3 GWP Uncertainty Component]])</f>
        <v>4.2140735182417983E-9</v>
      </c>
      <c r="BW14" s="56">
        <f>(Table13[[#This Row],[Percent contribution to Scenario 4 inventory]]^2)*((LN(Table13[[#This Row],[Emission Factor GSD]]))^2)</f>
        <v>2.8393113788023365E-9</v>
      </c>
      <c r="BX14" s="56">
        <f>(Table13[[#This Row],[Percent contribution to Scenario 4 inventory]]^2)*((LN(Table13[[#This Row],[Activity Data GSD]]))^2)</f>
        <v>6.0904610944510359E-10</v>
      </c>
      <c r="BY14" s="56">
        <f>(Table13[[#This Row],[Percent contribution to Scenario 4 inventory]]^2)*((LN(Table13[[#This Row],[GWP GSD]]))^2)</f>
        <v>7.657160299943573E-10</v>
      </c>
      <c r="BZ14" s="56">
        <f>SUM(Table13[[#This Row],[Scenario 4 Emission Factor Uncertainty Component]:[Scenario 4 GWP Uncertainty Component]])</f>
        <v>4.2140735182417975E-9</v>
      </c>
      <c r="CA14" s="56">
        <f>(Table13[[#This Row],[Percent contribution to Scenario 5 inventory]]^2)*((LN(Table13[[#This Row],[Emission Factor GSD]]))^2)</f>
        <v>2.8393113788023382E-9</v>
      </c>
      <c r="CB14" s="56">
        <f>(Table13[[#This Row],[Percent contribution to Scenario 5 inventory]]^2)*((LN(Table13[[#This Row],[Activity Data GSD]]))^2)</f>
        <v>6.090461094451039E-10</v>
      </c>
      <c r="CC14" s="56">
        <f>(Table13[[#This Row],[Percent contribution to Scenario 5 inventory]]^2)*((LN(Table13[[#This Row],[GWP GSD]]))^2)</f>
        <v>7.6571602999435782E-10</v>
      </c>
      <c r="CD14" s="56">
        <f>SUM(Table13[[#This Row],[Scenario 5 Emission Factor Uncertainty Component]:[Scenario 5 GWP Uncertainty Component]])</f>
        <v>4.2140735182418E-9</v>
      </c>
      <c r="CE14" s="41"/>
    </row>
    <row r="15" spans="1:95" s="24" customFormat="1" ht="22.5" customHeight="1" x14ac:dyDescent="0.2">
      <c r="A15" s="32" t="s">
        <v>70</v>
      </c>
      <c r="B15" s="28" t="s">
        <v>75</v>
      </c>
      <c r="C15" s="19" t="s">
        <v>9</v>
      </c>
      <c r="D15" s="20" t="s">
        <v>1</v>
      </c>
      <c r="E15" s="20">
        <v>2001</v>
      </c>
      <c r="F15" s="20" t="s">
        <v>0</v>
      </c>
      <c r="G15" s="20" t="s">
        <v>30</v>
      </c>
      <c r="H15" s="20"/>
      <c r="I15" s="20"/>
      <c r="J15" s="20"/>
      <c r="K15" s="20"/>
      <c r="L15" s="20"/>
      <c r="M15" s="20"/>
      <c r="N15" s="49">
        <v>4.7586363430857528</v>
      </c>
      <c r="O15" s="50">
        <f>(SUM(Table13[[#This Row],[Methane emission factor]:[Unclassified gasses emission factor]]))/Table13[[#This Row],[GWP per unit]]</f>
        <v>1</v>
      </c>
      <c r="P15" s="50">
        <f>SUM(Table13[[#This Row],[CO2 emission factor]:[Unclassified gasses emission factor]])</f>
        <v>4.7586363430857528</v>
      </c>
      <c r="Q15" s="48">
        <v>1.9939999999999999E-2</v>
      </c>
      <c r="R15" s="16"/>
      <c r="S15" s="16"/>
      <c r="T15" s="16"/>
      <c r="U15" s="27">
        <v>2.1934000000000002E-2</v>
      </c>
      <c r="V15" s="25">
        <v>1.7946E-2</v>
      </c>
      <c r="W15" s="20">
        <v>2.3927999999999998E-2</v>
      </c>
      <c r="X15" s="20">
        <v>1.5952000000000001E-2</v>
      </c>
      <c r="Y15" s="53">
        <f>IFERROR(Table13[[#This Row],[Baseline Activity]]*Table13[[#This Row],[GWP per unit]],0)</f>
        <v>9.4887208681129903E-2</v>
      </c>
      <c r="Z15" s="21">
        <f>IFERROR(Table13[[#This Row],[Scenario 2 Activity]]*Table13[[#This Row],[GWP per unit]],0)</f>
        <v>0.10437592954924291</v>
      </c>
      <c r="AA15" s="21">
        <f>IFERROR(Table13[[#This Row],[Scenario 3 Activity]]*Table13[[#This Row],[GWP per unit]],0)</f>
        <v>8.5398487813016927E-2</v>
      </c>
      <c r="AB15" s="21">
        <f>IFERROR(Table13[[#This Row],[Scenario 4 Activity]]*Table13[[#This Row],[GWP per unit]],0)</f>
        <v>0.11386465041735588</v>
      </c>
      <c r="AC15" s="21">
        <f>IFERROR(Table13[[#This Row],[Scenario 5 Activity]]*Table13[[#This Row],[GWP per unit]],0)</f>
        <v>7.5909766944903936E-2</v>
      </c>
      <c r="AD15" s="54">
        <f>IF(Table13[Baseline GHG Total]="",0,Table13[Baseline GHG Total]/SUM(Table13[Baseline GHG Total]:Table13[Baseline GHG Total]))</f>
        <v>6.1001404773674693E-4</v>
      </c>
      <c r="AE15" s="54">
        <f>IF(Table13[Scenario 2 GHG Total]="",0,Table13[Scenario 2 GHG Total]/SUM(Table13[Scenario 2 GHG Total]:Table13[Scenario 2 GHG Total]))</f>
        <v>6.1001404773674693E-4</v>
      </c>
      <c r="AF15" s="54">
        <f>IF(Table13[Scenario 3 GHG Total]="",0,Table13[Scenario 3 GHG Total]/SUM(Table13[Scenario 3 GHG Total]:Table13[Scenario 3 GHG Total]))</f>
        <v>6.1001404773674704E-4</v>
      </c>
      <c r="AG15" s="54">
        <f>IF(Table13[Scenario 4 GHG Total]="",0,Table13[Scenario 4 GHG Total]/SUM(Table13[Scenario 4 GHG Total]:Table13[Scenario 4 GHG Total]))</f>
        <v>6.1001404773674704E-4</v>
      </c>
      <c r="AH15" s="54">
        <f>IF(Table13[Scenario 5 GHG Total]="",0,Table13[Scenario 5 GHG Total]/SUM(Table13[Scenario 5 GHG Total]:Table13[Scenario 5 GHG Total]))</f>
        <v>6.1001404773674715E-4</v>
      </c>
      <c r="AI15" s="20" t="str">
        <f>Info!$B$13</f>
        <v>Poor</v>
      </c>
      <c r="AJ15" s="20" t="str">
        <f>Info!$B$14</f>
        <v>Poor</v>
      </c>
      <c r="AK15" s="20" t="s">
        <v>57</v>
      </c>
      <c r="AL15" s="20" t="s">
        <v>57</v>
      </c>
      <c r="AM15" s="20" t="s">
        <v>57</v>
      </c>
      <c r="AN15" s="21">
        <f>VLOOKUP($G15,Info!$A$40:$C$48,3,FALSE)</f>
        <v>1.05</v>
      </c>
      <c r="AO15" s="21">
        <f>HLOOKUP(Calculations!AI15,Info!$C$31:$F$36,2,FALSE)</f>
        <v>1.5</v>
      </c>
      <c r="AP15" s="21">
        <f>HLOOKUP(Calculations!AJ15,Info!$C$31:$F$36,3,FALSE)</f>
        <v>1.2</v>
      </c>
      <c r="AQ15" s="21">
        <f>HLOOKUP(Calculations!AK15,Info!$C$31:$F$36,4,FALSE)</f>
        <v>1.2</v>
      </c>
      <c r="AR15" s="21">
        <f>HLOOKUP(Calculations!AL15,Info!$C$31:$F$36,5,FALSE)</f>
        <v>1.05</v>
      </c>
      <c r="AS15" s="21">
        <f>HLOOKUP(Calculations!AM15,Info!$C$31:$F$36,6,FALSE)</f>
        <v>1.5</v>
      </c>
      <c r="AT15" s="20" t="s">
        <v>57</v>
      </c>
      <c r="AU15" s="20" t="str">
        <f>Info!$B$21</f>
        <v>Poor</v>
      </c>
      <c r="AV15" s="20" t="str">
        <f>Info!$B$22</f>
        <v>Poor</v>
      </c>
      <c r="AW15" s="20" t="str">
        <f>Info!$B$23</f>
        <v>Poor</v>
      </c>
      <c r="AX15" s="20" t="s">
        <v>57</v>
      </c>
      <c r="AY15" s="21">
        <f>VLOOKUP($G15,Info!$A$40:$C$48,3,FALSE)</f>
        <v>1.05</v>
      </c>
      <c r="AZ15" s="21">
        <f>HLOOKUP(Calculations!AT15,Info!$C$31:$F$36,2,FALSE)</f>
        <v>1.2</v>
      </c>
      <c r="BA15" s="21">
        <f>HLOOKUP(Calculations!AU15,Info!$C$31:$F$36,3,FALSE)</f>
        <v>1.2</v>
      </c>
      <c r="BB15" s="21">
        <f>HLOOKUP(Calculations!AV15,Info!$C$31:$F$36,4,FALSE)</f>
        <v>1.5</v>
      </c>
      <c r="BC15" s="21">
        <f>HLOOKUP(Calculations!AW15,Info!$C$31:$F$36,5,FALSE)</f>
        <v>1.1000000000000001</v>
      </c>
      <c r="BD15" s="21">
        <f>HLOOKUP(Calculations!AX15,Info!$C$31:$F$36,6,FALSE)</f>
        <v>1.5</v>
      </c>
      <c r="BE15"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1.8822969644142267</v>
      </c>
      <c r="BF15" s="77">
        <f t="shared" si="1"/>
        <v>1.3719682811254152</v>
      </c>
      <c r="BG15"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1.8922566548296071</v>
      </c>
      <c r="BH15" s="77">
        <f t="shared" si="0"/>
        <v>1.3755932010698537</v>
      </c>
      <c r="BI15" s="56">
        <f>EXP(((Table13[[#This Row],[% GWP from other gases]]^2)*(LN(Info!$B$27))^2)^0.5)</f>
        <v>1.35</v>
      </c>
      <c r="BJ15" s="77">
        <f>Table13[[#This Row],[GWP GSD2]]^0.5</f>
        <v>1.1618950038622251</v>
      </c>
      <c r="BK15" s="56">
        <f>(Table13[[#This Row],[Percent contribution to Baseline inventory]]^2)*((LN(Table13[[#This Row],[Emission Factor GSD]]))^2)</f>
        <v>3.7839728349188207E-8</v>
      </c>
      <c r="BL15" s="56">
        <f>(Table13[[#This Row],[Percent contribution to Baseline inventory]]^2)*((LN(Table13[[#This Row],[Activity Data GSD]]))^2)</f>
        <v>3.7216101864657112E-8</v>
      </c>
      <c r="BM15" s="56">
        <f>(Table13[[#This Row],[Percent contribution to Baseline inventory]]^2)*((LN(Table13[[#This Row],[GWP GSD]]))^2)</f>
        <v>8.3784747290134706E-9</v>
      </c>
      <c r="BN15" s="56">
        <f>SUM(Table13[[#This Row],[Baseline Emission Factor Uncertainty Component]:[Baseline GWP Uncertainty Component]])</f>
        <v>8.3434304942858799E-8</v>
      </c>
      <c r="BO15" s="56">
        <f>(Table13[[#This Row],[Percent contribution to Scenario 2 inventory]]^2)*((LN(Table13[[#This Row],[Emission Factor GSD]]))^2)</f>
        <v>3.7839728349188207E-8</v>
      </c>
      <c r="BP15" s="56">
        <f>(Table13[[#This Row],[Percent contribution to Scenario 2 inventory]]^2)*((LN(Table13[[#This Row],[Activity Data GSD]]))^2)</f>
        <v>3.7216101864657112E-8</v>
      </c>
      <c r="BQ15" s="56">
        <f>(Table13[[#This Row],[Percent contribution to Scenario 2 inventory]]^2)*((LN(Table13[[#This Row],[GWP GSD]]))^2)</f>
        <v>8.3784747290134706E-9</v>
      </c>
      <c r="BR15" s="56">
        <f>SUM(Table13[[#This Row],[Scenario 2 Emission Factor Uncertainty Component]:[Scenario 2 GWP Uncertainty Component]])</f>
        <v>8.3434304942858799E-8</v>
      </c>
      <c r="BS15" s="56">
        <f>(Table13[[#This Row],[Percent contribution to Scenario 3 inventory]]^2)*((LN(Table13[[#This Row],[Emission Factor GSD]]))^2)</f>
        <v>3.7839728349188227E-8</v>
      </c>
      <c r="BT15" s="56">
        <f>(Table13[[#This Row],[Percent contribution to Scenario 3 inventory]]^2)*((LN(Table13[[#This Row],[Activity Data GSD]]))^2)</f>
        <v>3.7216101864657132E-8</v>
      </c>
      <c r="BU15" s="56">
        <f>(Table13[[#This Row],[Percent contribution to Scenario 3 inventory]]^2)*((LN(Table13[[#This Row],[GWP GSD]]))^2)</f>
        <v>8.3784747290134739E-9</v>
      </c>
      <c r="BV15" s="56">
        <f>SUM(Table13[[#This Row],[Scenario 3 Emission Factor Uncertainty Component]:[Scenario 3 GWP Uncertainty Component]])</f>
        <v>8.3434304942858826E-8</v>
      </c>
      <c r="BW15" s="56">
        <f>(Table13[[#This Row],[Percent contribution to Scenario 4 inventory]]^2)*((LN(Table13[[#This Row],[Emission Factor GSD]]))^2)</f>
        <v>3.7839728349188227E-8</v>
      </c>
      <c r="BX15" s="56">
        <f>(Table13[[#This Row],[Percent contribution to Scenario 4 inventory]]^2)*((LN(Table13[[#This Row],[Activity Data GSD]]))^2)</f>
        <v>3.7216101864657132E-8</v>
      </c>
      <c r="BY15" s="56">
        <f>(Table13[[#This Row],[Percent contribution to Scenario 4 inventory]]^2)*((LN(Table13[[#This Row],[GWP GSD]]))^2)</f>
        <v>8.3784747290134739E-9</v>
      </c>
      <c r="BZ15" s="56">
        <f>SUM(Table13[[#This Row],[Scenario 4 Emission Factor Uncertainty Component]:[Scenario 4 GWP Uncertainty Component]])</f>
        <v>8.3434304942858826E-8</v>
      </c>
      <c r="CA15" s="56">
        <f>(Table13[[#This Row],[Percent contribution to Scenario 5 inventory]]^2)*((LN(Table13[[#This Row],[Emission Factor GSD]]))^2)</f>
        <v>3.7839728349188233E-8</v>
      </c>
      <c r="CB15" s="56">
        <f>(Table13[[#This Row],[Percent contribution to Scenario 5 inventory]]^2)*((LN(Table13[[#This Row],[Activity Data GSD]]))^2)</f>
        <v>3.7216101864657138E-8</v>
      </c>
      <c r="CC15" s="56">
        <f>(Table13[[#This Row],[Percent contribution to Scenario 5 inventory]]^2)*((LN(Table13[[#This Row],[GWP GSD]]))^2)</f>
        <v>8.3784747290134772E-9</v>
      </c>
      <c r="CD15" s="56">
        <f>SUM(Table13[[#This Row],[Scenario 5 Emission Factor Uncertainty Component]:[Scenario 5 GWP Uncertainty Component]])</f>
        <v>8.3434304942858852E-8</v>
      </c>
      <c r="CE15" s="41"/>
    </row>
    <row r="16" spans="1:95" s="24" customFormat="1" ht="22.5" customHeight="1" x14ac:dyDescent="0.2">
      <c r="A16" s="7" t="s">
        <v>177</v>
      </c>
      <c r="B16" s="28" t="s">
        <v>74</v>
      </c>
      <c r="C16" s="19" t="s">
        <v>6</v>
      </c>
      <c r="D16" s="20" t="s">
        <v>1</v>
      </c>
      <c r="E16" s="20">
        <v>2001</v>
      </c>
      <c r="F16" s="20" t="s">
        <v>0</v>
      </c>
      <c r="G16" s="20" t="s">
        <v>31</v>
      </c>
      <c r="H16" s="20"/>
      <c r="I16" s="20"/>
      <c r="J16" s="20"/>
      <c r="K16" s="20"/>
      <c r="L16" s="20"/>
      <c r="M16" s="20"/>
      <c r="N16" s="49">
        <v>1.358551222457246</v>
      </c>
      <c r="O16" s="50">
        <f>(SUM(Table13[[#This Row],[Methane emission factor]:[Unclassified gasses emission factor]]))/Table13[[#This Row],[GWP per unit]]</f>
        <v>1</v>
      </c>
      <c r="P16" s="50">
        <f>SUM(Table13[[#This Row],[CO2 emission factor]:[Unclassified gasses emission factor]])</f>
        <v>1.358551222457246</v>
      </c>
      <c r="Q16" s="48">
        <v>0.48293000000000003</v>
      </c>
      <c r="R16" s="16"/>
      <c r="S16" s="16"/>
      <c r="T16" s="16"/>
      <c r="U16" s="27">
        <v>0.53122300000000011</v>
      </c>
      <c r="V16" s="25">
        <v>0.43463700000000005</v>
      </c>
      <c r="W16" s="20">
        <v>0.57951600000000003</v>
      </c>
      <c r="X16" s="20">
        <v>0.38634400000000002</v>
      </c>
      <c r="Y16" s="53">
        <f>IFERROR(Table13[[#This Row],[Baseline Activity]]*Table13[[#This Row],[GWP per unit]],0)</f>
        <v>0.65608514186127787</v>
      </c>
      <c r="Z16" s="21">
        <f>IFERROR(Table13[[#This Row],[Scenario 2 Activity]]*Table13[[#This Row],[GWP per unit]],0)</f>
        <v>0.72169365604740576</v>
      </c>
      <c r="AA16" s="21">
        <f>IFERROR(Table13[[#This Row],[Scenario 3 Activity]]*Table13[[#This Row],[GWP per unit]],0)</f>
        <v>0.59047662767515008</v>
      </c>
      <c r="AB16" s="21">
        <f>IFERROR(Table13[[#This Row],[Scenario 4 Activity]]*Table13[[#This Row],[GWP per unit]],0)</f>
        <v>0.78730217023353344</v>
      </c>
      <c r="AC16" s="21">
        <f>IFERROR(Table13[[#This Row],[Scenario 5 Activity]]*Table13[[#This Row],[GWP per unit]],0)</f>
        <v>0.52486811348902229</v>
      </c>
      <c r="AD16" s="54">
        <f>IF(Table13[Baseline GHG Total]="",0,Table13[Baseline GHG Total]/SUM(Table13[Baseline GHG Total]:Table13[Baseline GHG Total]))</f>
        <v>4.2178620133266438E-3</v>
      </c>
      <c r="AE16" s="54">
        <f>IF(Table13[Scenario 2 GHG Total]="",0,Table13[Scenario 2 GHG Total]/SUM(Table13[Scenario 2 GHG Total]:Table13[Scenario 2 GHG Total]))</f>
        <v>4.2178620133266438E-3</v>
      </c>
      <c r="AF16" s="54">
        <f>IF(Table13[Scenario 3 GHG Total]="",0,Table13[Scenario 3 GHG Total]/SUM(Table13[Scenario 3 GHG Total]:Table13[Scenario 3 GHG Total]))</f>
        <v>4.2178620133266438E-3</v>
      </c>
      <c r="AG16" s="54">
        <f>IF(Table13[Scenario 4 GHG Total]="",0,Table13[Scenario 4 GHG Total]/SUM(Table13[Scenario 4 GHG Total]:Table13[Scenario 4 GHG Total]))</f>
        <v>4.2178620133266438E-3</v>
      </c>
      <c r="AH16" s="54">
        <f>IF(Table13[Scenario 5 GHG Total]="",0,Table13[Scenario 5 GHG Total]/SUM(Table13[Scenario 5 GHG Total]:Table13[Scenario 5 GHG Total]))</f>
        <v>4.2178620133266438E-3</v>
      </c>
      <c r="AI16" s="20" t="s">
        <v>57</v>
      </c>
      <c r="AJ16" s="20" t="str">
        <f>Info!$B$14</f>
        <v>Poor</v>
      </c>
      <c r="AK16" s="20" t="s">
        <v>57</v>
      </c>
      <c r="AL16" s="20" t="s">
        <v>56</v>
      </c>
      <c r="AM16" s="20" t="s">
        <v>57</v>
      </c>
      <c r="AN16" s="21">
        <f>VLOOKUP($G16,Info!$A$40:$C$48,3,FALSE)</f>
        <v>2</v>
      </c>
      <c r="AO16" s="21">
        <f>HLOOKUP(Calculations!AI16,Info!$C$31:$F$36,2,FALSE)</f>
        <v>1.2</v>
      </c>
      <c r="AP16" s="21">
        <f>HLOOKUP(Calculations!AJ16,Info!$C$31:$F$36,3,FALSE)</f>
        <v>1.2</v>
      </c>
      <c r="AQ16" s="21">
        <f>HLOOKUP(Calculations!AK16,Info!$C$31:$F$36,4,FALSE)</f>
        <v>1.2</v>
      </c>
      <c r="AR16" s="21">
        <f>HLOOKUP(Calculations!AL16,Info!$C$31:$F$36,5,FALSE)</f>
        <v>1.02</v>
      </c>
      <c r="AS16" s="21">
        <f>HLOOKUP(Calculations!AM16,Info!$C$31:$F$36,6,FALSE)</f>
        <v>1.5</v>
      </c>
      <c r="AT16" s="20" t="s">
        <v>55</v>
      </c>
      <c r="AU16" s="20" t="s">
        <v>55</v>
      </c>
      <c r="AV16" s="20" t="s">
        <v>56</v>
      </c>
      <c r="AW16" s="20" t="s">
        <v>55</v>
      </c>
      <c r="AX16" s="20" t="s">
        <v>56</v>
      </c>
      <c r="AY16" s="21">
        <f>VLOOKUP($G16,Info!$A$40:$C$48,3,FALSE)</f>
        <v>2</v>
      </c>
      <c r="AZ16" s="21">
        <f>HLOOKUP(Calculations!AT16,Info!$C$31:$F$36,2,FALSE)</f>
        <v>1</v>
      </c>
      <c r="BA16" s="21">
        <f>HLOOKUP(Calculations!AU16,Info!$C$31:$F$36,3,FALSE)</f>
        <v>1</v>
      </c>
      <c r="BB16" s="21">
        <f>HLOOKUP(Calculations!AV16,Info!$C$31:$F$36,4,FALSE)</f>
        <v>1.1000000000000001</v>
      </c>
      <c r="BC16" s="21">
        <f>HLOOKUP(Calculations!AW16,Info!$C$31:$F$36,5,FALSE)</f>
        <v>1</v>
      </c>
      <c r="BD16" s="21">
        <f>HLOOKUP(Calculations!AX16,Info!$C$31:$F$36,6,FALSE)</f>
        <v>1.2</v>
      </c>
      <c r="BE16"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2.3705376168639232</v>
      </c>
      <c r="BF16" s="77">
        <f t="shared" si="1"/>
        <v>1.5396550317730018</v>
      </c>
      <c r="BG16"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2.0606758678866099</v>
      </c>
      <c r="BH16" s="77">
        <f t="shared" si="0"/>
        <v>1.4355054398666032</v>
      </c>
      <c r="BI16" s="56">
        <f>EXP(((Table13[[#This Row],[% GWP from other gases]]^2)*(LN(Info!$B$27))^2)^0.5)</f>
        <v>1.35</v>
      </c>
      <c r="BJ16" s="77">
        <f>Table13[[#This Row],[GWP GSD2]]^0.5</f>
        <v>1.1618950038622251</v>
      </c>
      <c r="BK16" s="56">
        <f>(Table13[[#This Row],[Percent contribution to Baseline inventory]]^2)*((LN(Table13[[#This Row],[Emission Factor GSD]]))^2)</f>
        <v>2.3251030646976706E-6</v>
      </c>
      <c r="BL16" s="56">
        <f>(Table13[[#This Row],[Percent contribution to Baseline inventory]]^2)*((LN(Table13[[#This Row],[Activity Data GSD]]))^2)</f>
        <v>3.3133236153723958E-6</v>
      </c>
      <c r="BM16" s="56">
        <f>(Table13[[#This Row],[Percent contribution to Baseline inventory]]^2)*((LN(Table13[[#This Row],[GWP GSD]]))^2)</f>
        <v>4.0056225843385347E-7</v>
      </c>
      <c r="BN16" s="56">
        <f>SUM(Table13[[#This Row],[Baseline Emission Factor Uncertainty Component]:[Baseline GWP Uncertainty Component]])</f>
        <v>6.0389889385039198E-6</v>
      </c>
      <c r="BO16" s="56">
        <f>(Table13[[#This Row],[Percent contribution to Scenario 2 inventory]]^2)*((LN(Table13[[#This Row],[Emission Factor GSD]]))^2)</f>
        <v>2.3251030646976706E-6</v>
      </c>
      <c r="BP16" s="56">
        <f>(Table13[[#This Row],[Percent contribution to Scenario 2 inventory]]^2)*((LN(Table13[[#This Row],[Activity Data GSD]]))^2)</f>
        <v>3.3133236153723958E-6</v>
      </c>
      <c r="BQ16" s="56">
        <f>(Table13[[#This Row],[Percent contribution to Scenario 2 inventory]]^2)*((LN(Table13[[#This Row],[GWP GSD]]))^2)</f>
        <v>4.0056225843385347E-7</v>
      </c>
      <c r="BR16" s="56">
        <f>SUM(Table13[[#This Row],[Scenario 2 Emission Factor Uncertainty Component]:[Scenario 2 GWP Uncertainty Component]])</f>
        <v>6.0389889385039198E-6</v>
      </c>
      <c r="BS16" s="56">
        <f>(Table13[[#This Row],[Percent contribution to Scenario 3 inventory]]^2)*((LN(Table13[[#This Row],[Emission Factor GSD]]))^2)</f>
        <v>2.3251030646976706E-6</v>
      </c>
      <c r="BT16" s="56">
        <f>(Table13[[#This Row],[Percent contribution to Scenario 3 inventory]]^2)*((LN(Table13[[#This Row],[Activity Data GSD]]))^2)</f>
        <v>3.3133236153723958E-6</v>
      </c>
      <c r="BU16" s="56">
        <f>(Table13[[#This Row],[Percent contribution to Scenario 3 inventory]]^2)*((LN(Table13[[#This Row],[GWP GSD]]))^2)</f>
        <v>4.0056225843385347E-7</v>
      </c>
      <c r="BV16" s="56">
        <f>SUM(Table13[[#This Row],[Scenario 3 Emission Factor Uncertainty Component]:[Scenario 3 GWP Uncertainty Component]])</f>
        <v>6.0389889385039198E-6</v>
      </c>
      <c r="BW16" s="56">
        <f>(Table13[[#This Row],[Percent contribution to Scenario 4 inventory]]^2)*((LN(Table13[[#This Row],[Emission Factor GSD]]))^2)</f>
        <v>2.3251030646976706E-6</v>
      </c>
      <c r="BX16" s="56">
        <f>(Table13[[#This Row],[Percent contribution to Scenario 4 inventory]]^2)*((LN(Table13[[#This Row],[Activity Data GSD]]))^2)</f>
        <v>3.3133236153723958E-6</v>
      </c>
      <c r="BY16" s="56">
        <f>(Table13[[#This Row],[Percent contribution to Scenario 4 inventory]]^2)*((LN(Table13[[#This Row],[GWP GSD]]))^2)</f>
        <v>4.0056225843385347E-7</v>
      </c>
      <c r="BZ16" s="56">
        <f>SUM(Table13[[#This Row],[Scenario 4 Emission Factor Uncertainty Component]:[Scenario 4 GWP Uncertainty Component]])</f>
        <v>6.0389889385039198E-6</v>
      </c>
      <c r="CA16" s="56">
        <f>(Table13[[#This Row],[Percent contribution to Scenario 5 inventory]]^2)*((LN(Table13[[#This Row],[Emission Factor GSD]]))^2)</f>
        <v>2.3251030646976706E-6</v>
      </c>
      <c r="CB16" s="56">
        <f>(Table13[[#This Row],[Percent contribution to Scenario 5 inventory]]^2)*((LN(Table13[[#This Row],[Activity Data GSD]]))^2)</f>
        <v>3.3133236153723958E-6</v>
      </c>
      <c r="CC16" s="56">
        <f>(Table13[[#This Row],[Percent contribution to Scenario 5 inventory]]^2)*((LN(Table13[[#This Row],[GWP GSD]]))^2)</f>
        <v>4.0056225843385347E-7</v>
      </c>
      <c r="CD16" s="56">
        <f>SUM(Table13[[#This Row],[Scenario 5 Emission Factor Uncertainty Component]:[Scenario 5 GWP Uncertainty Component]])</f>
        <v>6.0389889385039198E-6</v>
      </c>
      <c r="CE16" s="41"/>
    </row>
    <row r="17" spans="1:83" s="24" customFormat="1" ht="22.5" customHeight="1" x14ac:dyDescent="0.2">
      <c r="A17" s="7" t="s">
        <v>176</v>
      </c>
      <c r="B17" s="28" t="s">
        <v>73</v>
      </c>
      <c r="C17" s="19" t="s">
        <v>6</v>
      </c>
      <c r="D17" s="20" t="s">
        <v>1</v>
      </c>
      <c r="E17" s="20">
        <v>2001</v>
      </c>
      <c r="F17" s="20" t="s">
        <v>0</v>
      </c>
      <c r="G17" s="20" t="s">
        <v>31</v>
      </c>
      <c r="H17" s="20"/>
      <c r="I17" s="20"/>
      <c r="J17" s="20"/>
      <c r="K17" s="20"/>
      <c r="L17" s="20"/>
      <c r="M17" s="20"/>
      <c r="N17" s="49">
        <v>1.2665457689601551</v>
      </c>
      <c r="O17" s="50">
        <f>(SUM(Table13[[#This Row],[Methane emission factor]:[Unclassified gasses emission factor]]))/Table13[[#This Row],[GWP per unit]]</f>
        <v>1</v>
      </c>
      <c r="P17" s="50">
        <f>SUM(Table13[[#This Row],[CO2 emission factor]:[Unclassified gasses emission factor]])</f>
        <v>1.2665457689601551</v>
      </c>
      <c r="Q17" s="48">
        <v>2.4469999999999999E-2</v>
      </c>
      <c r="R17" s="16"/>
      <c r="S17" s="16"/>
      <c r="T17" s="16"/>
      <c r="U17" s="27">
        <v>2.6917E-2</v>
      </c>
      <c r="V17" s="25">
        <v>2.2023000000000001E-2</v>
      </c>
      <c r="W17" s="20">
        <v>2.9363999999999998E-2</v>
      </c>
      <c r="X17" s="20">
        <v>1.9576E-2</v>
      </c>
      <c r="Y17" s="53">
        <f>IFERROR(Table13[[#This Row],[Baseline Activity]]*Table13[[#This Row],[GWP per unit]],0)</f>
        <v>3.0992374966454996E-2</v>
      </c>
      <c r="Z17" s="21">
        <f>IFERROR(Table13[[#This Row],[Scenario 2 Activity]]*Table13[[#This Row],[GWP per unit]],0)</f>
        <v>3.4091612463100496E-2</v>
      </c>
      <c r="AA17" s="21">
        <f>IFERROR(Table13[[#This Row],[Scenario 3 Activity]]*Table13[[#This Row],[GWP per unit]],0)</f>
        <v>2.7893137469809499E-2</v>
      </c>
      <c r="AB17" s="21">
        <f>IFERROR(Table13[[#This Row],[Scenario 4 Activity]]*Table13[[#This Row],[GWP per unit]],0)</f>
        <v>3.7190849959745996E-2</v>
      </c>
      <c r="AC17" s="21">
        <f>IFERROR(Table13[[#This Row],[Scenario 5 Activity]]*Table13[[#This Row],[GWP per unit]],0)</f>
        <v>2.4793899973163995E-2</v>
      </c>
      <c r="AD17" s="54">
        <f>IF(Table13[Baseline GHG Total]="",0,Table13[Baseline GHG Total]/SUM(Table13[Baseline GHG Total]:Table13[Baseline GHG Total]))</f>
        <v>1.992448124993902E-4</v>
      </c>
      <c r="AE17" s="54">
        <f>IF(Table13[Scenario 2 GHG Total]="",0,Table13[Scenario 2 GHG Total]/SUM(Table13[Scenario 2 GHG Total]:Table13[Scenario 2 GHG Total]))</f>
        <v>1.9924481249939017E-4</v>
      </c>
      <c r="AF17" s="54">
        <f>IF(Table13[Scenario 3 GHG Total]="",0,Table13[Scenario 3 GHG Total]/SUM(Table13[Scenario 3 GHG Total]:Table13[Scenario 3 GHG Total]))</f>
        <v>1.9924481249939026E-4</v>
      </c>
      <c r="AG17" s="54">
        <f>IF(Table13[Scenario 4 GHG Total]="",0,Table13[Scenario 4 GHG Total]/SUM(Table13[Scenario 4 GHG Total]:Table13[Scenario 4 GHG Total]))</f>
        <v>1.9924481249939023E-4</v>
      </c>
      <c r="AH17" s="54">
        <f>IF(Table13[Scenario 5 GHG Total]="",0,Table13[Scenario 5 GHG Total]/SUM(Table13[Scenario 5 GHG Total]:Table13[Scenario 5 GHG Total]))</f>
        <v>1.9924481249939023E-4</v>
      </c>
      <c r="AI17" s="20" t="s">
        <v>53</v>
      </c>
      <c r="AJ17" s="20" t="str">
        <f>Info!$B$14</f>
        <v>Poor</v>
      </c>
      <c r="AK17" s="20" t="s">
        <v>57</v>
      </c>
      <c r="AL17" s="20" t="s">
        <v>57</v>
      </c>
      <c r="AM17" s="20" t="s">
        <v>57</v>
      </c>
      <c r="AN17" s="21">
        <f>VLOOKUP($G17,Info!$A$40:$C$48,3,FALSE)</f>
        <v>2</v>
      </c>
      <c r="AO17" s="21">
        <f>HLOOKUP(Calculations!AI17,Info!$C$31:$F$36,2,FALSE)</f>
        <v>1.5</v>
      </c>
      <c r="AP17" s="21">
        <f>HLOOKUP(Calculations!AJ17,Info!$C$31:$F$36,3,FALSE)</f>
        <v>1.2</v>
      </c>
      <c r="AQ17" s="21">
        <f>HLOOKUP(Calculations!AK17,Info!$C$31:$F$36,4,FALSE)</f>
        <v>1.2</v>
      </c>
      <c r="AR17" s="21">
        <f>HLOOKUP(Calculations!AL17,Info!$C$31:$F$36,5,FALSE)</f>
        <v>1.05</v>
      </c>
      <c r="AS17" s="21">
        <f>HLOOKUP(Calculations!AM17,Info!$C$31:$F$36,6,FALSE)</f>
        <v>1.5</v>
      </c>
      <c r="AT17" s="20" t="s">
        <v>57</v>
      </c>
      <c r="AU17" s="20" t="str">
        <f>Info!$B$21</f>
        <v>Poor</v>
      </c>
      <c r="AV17" s="20" t="s">
        <v>55</v>
      </c>
      <c r="AW17" s="20" t="str">
        <f>Info!$B$23</f>
        <v>Poor</v>
      </c>
      <c r="AX17" s="20" t="s">
        <v>56</v>
      </c>
      <c r="AY17" s="21">
        <f>VLOOKUP($G17,Info!$A$40:$C$48,3,FALSE)</f>
        <v>2</v>
      </c>
      <c r="AZ17" s="21">
        <f>HLOOKUP(Calculations!AT17,Info!$C$31:$F$36,2,FALSE)</f>
        <v>1.2</v>
      </c>
      <c r="BA17" s="21">
        <f>HLOOKUP(Calculations!AU17,Info!$C$31:$F$36,3,FALSE)</f>
        <v>1.2</v>
      </c>
      <c r="BB17" s="21">
        <f>HLOOKUP(Calculations!AV17,Info!$C$31:$F$36,4,FALSE)</f>
        <v>1</v>
      </c>
      <c r="BC17" s="21">
        <f>HLOOKUP(Calculations!AW17,Info!$C$31:$F$36,5,FALSE)</f>
        <v>1.1000000000000001</v>
      </c>
      <c r="BD17" s="21">
        <f>HLOOKUP(Calculations!AX17,Info!$C$31:$F$36,6,FALSE)</f>
        <v>1.2</v>
      </c>
      <c r="BE17"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2.5525182319721456</v>
      </c>
      <c r="BF17" s="77">
        <f t="shared" si="1"/>
        <v>1.5976602367124699</v>
      </c>
      <c r="BG17"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2.1546602333344422</v>
      </c>
      <c r="BH17" s="77">
        <f t="shared" si="0"/>
        <v>1.4678760960430013</v>
      </c>
      <c r="BI17" s="56">
        <f>EXP(((Table13[[#This Row],[% GWP from other gases]]^2)*(LN(Info!$B$27))^2)^0.5)</f>
        <v>1.35</v>
      </c>
      <c r="BJ17" s="77">
        <f>Table13[[#This Row],[GWP GSD2]]^0.5</f>
        <v>1.1618950038622251</v>
      </c>
      <c r="BK17" s="56">
        <f>(Table13[[#This Row],[Percent contribution to Baseline inventory]]^2)*((LN(Table13[[#This Row],[Emission Factor GSD]]))^2)</f>
        <v>5.8481887440901852E-9</v>
      </c>
      <c r="BL17" s="56">
        <f>(Table13[[#This Row],[Percent contribution to Baseline inventory]]^2)*((LN(Table13[[#This Row],[Activity Data GSD]]))^2)</f>
        <v>8.7150077170891327E-9</v>
      </c>
      <c r="BM17" s="56">
        <f>(Table13[[#This Row],[Percent contribution to Baseline inventory]]^2)*((LN(Table13[[#This Row],[GWP GSD]]))^2)</f>
        <v>8.9383907743420798E-10</v>
      </c>
      <c r="BN17" s="56">
        <f>SUM(Table13[[#This Row],[Baseline Emission Factor Uncertainty Component]:[Baseline GWP Uncertainty Component]])</f>
        <v>1.5457035538613526E-8</v>
      </c>
      <c r="BO17" s="56">
        <f>(Table13[[#This Row],[Percent contribution to Scenario 2 inventory]]^2)*((LN(Table13[[#This Row],[Emission Factor GSD]]))^2)</f>
        <v>5.8481887440901836E-9</v>
      </c>
      <c r="BP17" s="56">
        <f>(Table13[[#This Row],[Percent contribution to Scenario 2 inventory]]^2)*((LN(Table13[[#This Row],[Activity Data GSD]]))^2)</f>
        <v>8.7150077170891294E-9</v>
      </c>
      <c r="BQ17" s="56">
        <f>(Table13[[#This Row],[Percent contribution to Scenario 2 inventory]]^2)*((LN(Table13[[#This Row],[GWP GSD]]))^2)</f>
        <v>8.9383907743420767E-10</v>
      </c>
      <c r="BR17" s="56">
        <f>SUM(Table13[[#This Row],[Scenario 2 Emission Factor Uncertainty Component]:[Scenario 2 GWP Uncertainty Component]])</f>
        <v>1.5457035538613519E-8</v>
      </c>
      <c r="BS17" s="56">
        <f>(Table13[[#This Row],[Percent contribution to Scenario 3 inventory]]^2)*((LN(Table13[[#This Row],[Emission Factor GSD]]))^2)</f>
        <v>5.8481887440901885E-9</v>
      </c>
      <c r="BT17" s="56">
        <f>(Table13[[#This Row],[Percent contribution to Scenario 3 inventory]]^2)*((LN(Table13[[#This Row],[Activity Data GSD]]))^2)</f>
        <v>8.715007717089136E-9</v>
      </c>
      <c r="BU17" s="56">
        <f>(Table13[[#This Row],[Percent contribution to Scenario 3 inventory]]^2)*((LN(Table13[[#This Row],[GWP GSD]]))^2)</f>
        <v>8.9383907743420839E-10</v>
      </c>
      <c r="BV17" s="56">
        <f>SUM(Table13[[#This Row],[Scenario 3 Emission Factor Uncertainty Component]:[Scenario 3 GWP Uncertainty Component]])</f>
        <v>1.5457035538613533E-8</v>
      </c>
      <c r="BW17" s="56">
        <f>(Table13[[#This Row],[Percent contribution to Scenario 4 inventory]]^2)*((LN(Table13[[#This Row],[Emission Factor GSD]]))^2)</f>
        <v>5.848188744090186E-9</v>
      </c>
      <c r="BX17" s="56">
        <f>(Table13[[#This Row],[Percent contribution to Scenario 4 inventory]]^2)*((LN(Table13[[#This Row],[Activity Data GSD]]))^2)</f>
        <v>8.7150077170891343E-9</v>
      </c>
      <c r="BY17" s="56">
        <f>(Table13[[#This Row],[Percent contribution to Scenario 4 inventory]]^2)*((LN(Table13[[#This Row],[GWP GSD]]))^2)</f>
        <v>8.9383907743420808E-10</v>
      </c>
      <c r="BZ17" s="56">
        <f>SUM(Table13[[#This Row],[Scenario 4 Emission Factor Uncertainty Component]:[Scenario 4 GWP Uncertainty Component]])</f>
        <v>1.5457035538613526E-8</v>
      </c>
      <c r="CA17" s="56">
        <f>(Table13[[#This Row],[Percent contribution to Scenario 5 inventory]]^2)*((LN(Table13[[#This Row],[Emission Factor GSD]]))^2)</f>
        <v>5.848188744090186E-9</v>
      </c>
      <c r="CB17" s="56">
        <f>(Table13[[#This Row],[Percent contribution to Scenario 5 inventory]]^2)*((LN(Table13[[#This Row],[Activity Data GSD]]))^2)</f>
        <v>8.7150077170891343E-9</v>
      </c>
      <c r="CC17" s="56">
        <f>(Table13[[#This Row],[Percent contribution to Scenario 5 inventory]]^2)*((LN(Table13[[#This Row],[GWP GSD]]))^2)</f>
        <v>8.9383907743420808E-10</v>
      </c>
      <c r="CD17" s="56">
        <f>SUM(Table13[[#This Row],[Scenario 5 Emission Factor Uncertainty Component]:[Scenario 5 GWP Uncertainty Component]])</f>
        <v>1.5457035538613526E-8</v>
      </c>
      <c r="CE17" s="41"/>
    </row>
    <row r="18" spans="1:83" s="24" customFormat="1" ht="22.5" customHeight="1" x14ac:dyDescent="0.2">
      <c r="A18" s="7" t="s">
        <v>71</v>
      </c>
      <c r="B18" s="26" t="s">
        <v>77</v>
      </c>
      <c r="C18" s="19" t="s">
        <v>9</v>
      </c>
      <c r="D18" s="20" t="s">
        <v>1</v>
      </c>
      <c r="E18" s="20">
        <v>2001</v>
      </c>
      <c r="F18" s="20" t="s">
        <v>0</v>
      </c>
      <c r="G18" s="20" t="s">
        <v>30</v>
      </c>
      <c r="H18" s="20"/>
      <c r="I18" s="20"/>
      <c r="J18" s="20"/>
      <c r="K18" s="20"/>
      <c r="L18" s="20"/>
      <c r="M18" s="20"/>
      <c r="N18" s="49">
        <v>2.0885425081045077</v>
      </c>
      <c r="O18" s="50">
        <f>(SUM(Table13[[#This Row],[Methane emission factor]:[Unclassified gasses emission factor]]))/Table13[[#This Row],[GWP per unit]]</f>
        <v>1</v>
      </c>
      <c r="P18" s="50">
        <f>SUM(Table13[[#This Row],[CO2 emission factor]:[Unclassified gasses emission factor]])</f>
        <v>2.0885425081045077</v>
      </c>
      <c r="Q18" s="48">
        <v>2.6440000000000002E-2</v>
      </c>
      <c r="R18" s="16"/>
      <c r="S18" s="16"/>
      <c r="T18" s="16"/>
      <c r="U18" s="27">
        <v>2.9084000000000006E-2</v>
      </c>
      <c r="V18" s="25">
        <v>2.3796000000000001E-2</v>
      </c>
      <c r="W18" s="20">
        <v>3.1727999999999999E-2</v>
      </c>
      <c r="X18" s="20">
        <v>2.1152000000000004E-2</v>
      </c>
      <c r="Y18" s="53">
        <f>IFERROR(Table13[[#This Row],[Baseline Activity]]*Table13[[#This Row],[GWP per unit]],0)</f>
        <v>5.5221063914283185E-2</v>
      </c>
      <c r="Z18" s="21">
        <f>IFERROR(Table13[[#This Row],[Scenario 2 Activity]]*Table13[[#This Row],[GWP per unit]],0)</f>
        <v>6.0743170305711511E-2</v>
      </c>
      <c r="AA18" s="21">
        <f>IFERROR(Table13[[#This Row],[Scenario 3 Activity]]*Table13[[#This Row],[GWP per unit]],0)</f>
        <v>4.9698957522854866E-2</v>
      </c>
      <c r="AB18" s="21">
        <f>IFERROR(Table13[[#This Row],[Scenario 4 Activity]]*Table13[[#This Row],[GWP per unit]],0)</f>
        <v>6.6265276697139816E-2</v>
      </c>
      <c r="AC18" s="21">
        <f>IFERROR(Table13[[#This Row],[Scenario 5 Activity]]*Table13[[#This Row],[GWP per unit]],0)</f>
        <v>4.4176851131426553E-2</v>
      </c>
      <c r="AD18" s="54">
        <f>IF(Table13[Baseline GHG Total]="",0,Table13[Baseline GHG Total]/SUM(Table13[Baseline GHG Total]:Table13[Baseline GHG Total]))</f>
        <v>3.5500701503279138E-4</v>
      </c>
      <c r="AE18" s="54">
        <f>IF(Table13[Scenario 2 GHG Total]="",0,Table13[Scenario 2 GHG Total]/SUM(Table13[Scenario 2 GHG Total]:Table13[Scenario 2 GHG Total]))</f>
        <v>3.5500701503279138E-4</v>
      </c>
      <c r="AF18" s="54">
        <f>IF(Table13[Scenario 3 GHG Total]="",0,Table13[Scenario 3 GHG Total]/SUM(Table13[Scenario 3 GHG Total]:Table13[Scenario 3 GHG Total]))</f>
        <v>3.5500701503279143E-4</v>
      </c>
      <c r="AG18" s="54">
        <f>IF(Table13[Scenario 4 GHG Total]="",0,Table13[Scenario 4 GHG Total]/SUM(Table13[Scenario 4 GHG Total]:Table13[Scenario 4 GHG Total]))</f>
        <v>3.5500701503279138E-4</v>
      </c>
      <c r="AH18" s="54">
        <f>IF(Table13[Scenario 5 GHG Total]="",0,Table13[Scenario 5 GHG Total]/SUM(Table13[Scenario 5 GHG Total]:Table13[Scenario 5 GHG Total]))</f>
        <v>3.5500701503279148E-4</v>
      </c>
      <c r="AI18" s="20" t="s">
        <v>57</v>
      </c>
      <c r="AJ18" s="20" t="str">
        <f>Info!$B$14</f>
        <v>Poor</v>
      </c>
      <c r="AK18" s="20" t="s">
        <v>56</v>
      </c>
      <c r="AL18" s="20" t="str">
        <f>Info!$B$16</f>
        <v>Poor</v>
      </c>
      <c r="AM18" s="20" t="str">
        <f>Info!$B$17</f>
        <v>Poor</v>
      </c>
      <c r="AN18" s="21">
        <f>VLOOKUP($G18,Info!$A$40:$C$48,3,FALSE)</f>
        <v>1.05</v>
      </c>
      <c r="AO18" s="21">
        <f>HLOOKUP(Calculations!AI18,Info!$C$31:$F$36,2,FALSE)</f>
        <v>1.2</v>
      </c>
      <c r="AP18" s="21">
        <f>HLOOKUP(Calculations!AJ18,Info!$C$31:$F$36,3,FALSE)</f>
        <v>1.2</v>
      </c>
      <c r="AQ18" s="21">
        <f>HLOOKUP(Calculations!AK18,Info!$C$31:$F$36,4,FALSE)</f>
        <v>1.1000000000000001</v>
      </c>
      <c r="AR18" s="21">
        <f>HLOOKUP(Calculations!AL18,Info!$C$31:$F$36,5,FALSE)</f>
        <v>1.1000000000000001</v>
      </c>
      <c r="AS18" s="21">
        <f>HLOOKUP(Calculations!AM18,Info!$C$31:$F$36,6,FALSE)</f>
        <v>2</v>
      </c>
      <c r="AT18" s="20" t="s">
        <v>56</v>
      </c>
      <c r="AU18" s="20" t="s">
        <v>56</v>
      </c>
      <c r="AV18" s="20" t="s">
        <v>56</v>
      </c>
      <c r="AW18" s="20" t="s">
        <v>56</v>
      </c>
      <c r="AX18" s="20" t="s">
        <v>56</v>
      </c>
      <c r="AY18" s="21">
        <f>VLOOKUP($G18,Info!$A$40:$C$48,3,FALSE)</f>
        <v>1.05</v>
      </c>
      <c r="AZ18" s="21">
        <f>HLOOKUP(Calculations!AT18,Info!$C$31:$F$36,2,FALSE)</f>
        <v>1.1000000000000001</v>
      </c>
      <c r="BA18" s="21">
        <f>HLOOKUP(Calculations!AU18,Info!$C$31:$F$36,3,FALSE)</f>
        <v>1.05</v>
      </c>
      <c r="BB18" s="21">
        <f>HLOOKUP(Calculations!AV18,Info!$C$31:$F$36,4,FALSE)</f>
        <v>1.1000000000000001</v>
      </c>
      <c r="BC18" s="21">
        <f>HLOOKUP(Calculations!AW18,Info!$C$31:$F$36,5,FALSE)</f>
        <v>1.02</v>
      </c>
      <c r="BD18" s="21">
        <f>HLOOKUP(Calculations!AX18,Info!$C$31:$F$36,6,FALSE)</f>
        <v>1.2</v>
      </c>
      <c r="BE18" s="56">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2.1240300321934007</v>
      </c>
      <c r="BF18" s="77">
        <f t="shared" si="1"/>
        <v>1.4574052395244779</v>
      </c>
      <c r="BG18" s="56">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1.2684914136970371</v>
      </c>
      <c r="BH18" s="77">
        <f t="shared" si="0"/>
        <v>1.1262732411351328</v>
      </c>
      <c r="BI18" s="56">
        <f>EXP(((Table13[[#This Row],[% GWP from other gases]]^2)*(LN(Info!$B$27))^2)^0.5)</f>
        <v>1.35</v>
      </c>
      <c r="BJ18" s="77">
        <f>Table13[[#This Row],[GWP GSD2]]^0.5</f>
        <v>1.1618950038622251</v>
      </c>
      <c r="BK18" s="56">
        <f>(Table13[[#This Row],[Percent contribution to Baseline inventory]]^2)*((LN(Table13[[#This Row],[Emission Factor GSD]]))^2)</f>
        <v>1.7821368706584866E-9</v>
      </c>
      <c r="BL18" s="56">
        <f>(Table13[[#This Row],[Percent contribution to Baseline inventory]]^2)*((LN(Table13[[#This Row],[Activity Data GSD]]))^2)</f>
        <v>1.7879994824291231E-8</v>
      </c>
      <c r="BM18" s="56">
        <f>(Table13[[#This Row],[Percent contribution to Baseline inventory]]^2)*((LN(Table13[[#This Row],[GWP GSD]]))^2)</f>
        <v>2.837652178609843E-9</v>
      </c>
      <c r="BN18" s="56">
        <f>SUM(Table13[[#This Row],[Baseline Emission Factor Uncertainty Component]:[Baseline GWP Uncertainty Component]])</f>
        <v>2.2499783873559561E-8</v>
      </c>
      <c r="BO18" s="56">
        <f>(Table13[[#This Row],[Percent contribution to Scenario 2 inventory]]^2)*((LN(Table13[[#This Row],[Emission Factor GSD]]))^2)</f>
        <v>1.7821368706584866E-9</v>
      </c>
      <c r="BP18" s="56">
        <f>(Table13[[#This Row],[Percent contribution to Scenario 2 inventory]]^2)*((LN(Table13[[#This Row],[Activity Data GSD]]))^2)</f>
        <v>1.7879994824291231E-8</v>
      </c>
      <c r="BQ18" s="56">
        <f>(Table13[[#This Row],[Percent contribution to Scenario 2 inventory]]^2)*((LN(Table13[[#This Row],[GWP GSD]]))^2)</f>
        <v>2.837652178609843E-9</v>
      </c>
      <c r="BR18" s="56">
        <f>SUM(Table13[[#This Row],[Scenario 2 Emission Factor Uncertainty Component]:[Scenario 2 GWP Uncertainty Component]])</f>
        <v>2.2499783873559561E-8</v>
      </c>
      <c r="BS18" s="56">
        <f>(Table13[[#This Row],[Percent contribution to Scenario 3 inventory]]^2)*((LN(Table13[[#This Row],[Emission Factor GSD]]))^2)</f>
        <v>1.7821368706584874E-9</v>
      </c>
      <c r="BT18" s="56">
        <f>(Table13[[#This Row],[Percent contribution to Scenario 3 inventory]]^2)*((LN(Table13[[#This Row],[Activity Data GSD]]))^2)</f>
        <v>1.7879994824291238E-8</v>
      </c>
      <c r="BU18" s="56">
        <f>(Table13[[#This Row],[Percent contribution to Scenario 3 inventory]]^2)*((LN(Table13[[#This Row],[GWP GSD]]))^2)</f>
        <v>2.8376521786098442E-9</v>
      </c>
      <c r="BV18" s="56">
        <f>SUM(Table13[[#This Row],[Scenario 3 Emission Factor Uncertainty Component]:[Scenario 3 GWP Uncertainty Component]])</f>
        <v>2.2499783873559571E-8</v>
      </c>
      <c r="BW18" s="56">
        <f>(Table13[[#This Row],[Percent contribution to Scenario 4 inventory]]^2)*((LN(Table13[[#This Row],[Emission Factor GSD]]))^2)</f>
        <v>1.7821368706584866E-9</v>
      </c>
      <c r="BX18" s="56">
        <f>(Table13[[#This Row],[Percent contribution to Scenario 4 inventory]]^2)*((LN(Table13[[#This Row],[Activity Data GSD]]))^2)</f>
        <v>1.7879994824291231E-8</v>
      </c>
      <c r="BY18" s="56">
        <f>(Table13[[#This Row],[Percent contribution to Scenario 4 inventory]]^2)*((LN(Table13[[#This Row],[GWP GSD]]))^2)</f>
        <v>2.837652178609843E-9</v>
      </c>
      <c r="BZ18" s="56">
        <f>SUM(Table13[[#This Row],[Scenario 4 Emission Factor Uncertainty Component]:[Scenario 4 GWP Uncertainty Component]])</f>
        <v>2.2499783873559561E-8</v>
      </c>
      <c r="CA18" s="56">
        <f>(Table13[[#This Row],[Percent contribution to Scenario 5 inventory]]^2)*((LN(Table13[[#This Row],[Emission Factor GSD]]))^2)</f>
        <v>1.7821368706584878E-9</v>
      </c>
      <c r="CB18" s="56">
        <f>(Table13[[#This Row],[Percent contribution to Scenario 5 inventory]]^2)*((LN(Table13[[#This Row],[Activity Data GSD]]))^2)</f>
        <v>1.7879994824291241E-8</v>
      </c>
      <c r="CC18" s="56">
        <f>(Table13[[#This Row],[Percent contribution to Scenario 5 inventory]]^2)*((LN(Table13[[#This Row],[GWP GSD]]))^2)</f>
        <v>2.8376521786098446E-9</v>
      </c>
      <c r="CD18" s="56">
        <f>SUM(Table13[[#This Row],[Scenario 5 Emission Factor Uncertainty Component]:[Scenario 5 GWP Uncertainty Component]])</f>
        <v>2.2499783873559574E-8</v>
      </c>
      <c r="CE18" s="41"/>
    </row>
    <row r="19" spans="1:83" s="24" customFormat="1" ht="22.5" customHeight="1" x14ac:dyDescent="0.2">
      <c r="A19" s="18" t="s">
        <v>175</v>
      </c>
      <c r="B19" s="28" t="s">
        <v>73</v>
      </c>
      <c r="C19" s="19" t="s">
        <v>6</v>
      </c>
      <c r="D19" s="20" t="s">
        <v>1</v>
      </c>
      <c r="E19" s="20">
        <v>2001</v>
      </c>
      <c r="F19" s="20" t="s">
        <v>0</v>
      </c>
      <c r="G19" s="20" t="s">
        <v>31</v>
      </c>
      <c r="H19" s="20"/>
      <c r="I19" s="20"/>
      <c r="J19" s="20"/>
      <c r="K19" s="20"/>
      <c r="L19" s="20"/>
      <c r="M19" s="20"/>
      <c r="N19" s="49">
        <v>1.2665457689601551</v>
      </c>
      <c r="O19" s="50">
        <f>(SUM(Table13[[#This Row],[Methane emission factor]:[Unclassified gasses emission factor]]))/Table13[[#This Row],[GWP per unit]]</f>
        <v>1</v>
      </c>
      <c r="P19" s="50">
        <f>SUM(Table13[[#This Row],[CO2 emission factor]:[Unclassified gasses emission factor]])</f>
        <v>1.2665457689601551</v>
      </c>
      <c r="Q19" s="20">
        <v>50</v>
      </c>
      <c r="R19" s="20"/>
      <c r="S19" s="20"/>
      <c r="T19" s="20"/>
      <c r="U19" s="27">
        <v>55.000000000000007</v>
      </c>
      <c r="V19" s="25">
        <v>45</v>
      </c>
      <c r="W19" s="20">
        <v>60</v>
      </c>
      <c r="X19" s="20">
        <v>40</v>
      </c>
      <c r="Y19" s="53">
        <f>IFERROR(Table13[[#This Row],[Baseline Activity]]*Table13[[#This Row],[GWP per unit]],0)</f>
        <v>63.327288448007756</v>
      </c>
      <c r="Z19" s="21">
        <f>IFERROR(Table13[[#This Row],[Scenario 2 Activity]]*Table13[[#This Row],[GWP per unit]],0)</f>
        <v>69.660017292808547</v>
      </c>
      <c r="AA19" s="21">
        <f>IFERROR(Table13[[#This Row],[Scenario 3 Activity]]*Table13[[#This Row],[GWP per unit]],0)</f>
        <v>56.99455960320698</v>
      </c>
      <c r="AB19" s="21">
        <f>IFERROR(Table13[[#This Row],[Scenario 4 Activity]]*Table13[[#This Row],[GWP per unit]],0)</f>
        <v>75.992746137609302</v>
      </c>
      <c r="AC19" s="21">
        <f>IFERROR(Table13[[#This Row],[Scenario 5 Activity]]*Table13[[#This Row],[GWP per unit]],0)</f>
        <v>50.661830758406204</v>
      </c>
      <c r="AD19" s="54">
        <f>IF(Table13[Baseline GHG Total]="",0,Table13[Baseline GHG Total]/SUM(Table13[Baseline GHG Total]:Table13[Baseline GHG Total]))</f>
        <v>0.4071205813228243</v>
      </c>
      <c r="AE19" s="54">
        <f>IF(Table13[Scenario 2 GHG Total]="",0,Table13[Scenario 2 GHG Total]/SUM(Table13[Scenario 2 GHG Total]:Table13[Scenario 2 GHG Total]))</f>
        <v>0.4071205813228243</v>
      </c>
      <c r="AF19" s="54">
        <f>IF(Table13[Scenario 3 GHG Total]="",0,Table13[Scenario 3 GHG Total]/SUM(Table13[Scenario 3 GHG Total]:Table13[Scenario 3 GHG Total]))</f>
        <v>0.4071205813228243</v>
      </c>
      <c r="AG19" s="54">
        <f>IF(Table13[Scenario 4 GHG Total]="",0,Table13[Scenario 4 GHG Total]/SUM(Table13[Scenario 4 GHG Total]:Table13[Scenario 4 GHG Total]))</f>
        <v>0.4071205813228243</v>
      </c>
      <c r="AH19" s="54">
        <f>IF(Table13[Scenario 5 GHG Total]="",0,Table13[Scenario 5 GHG Total]/SUM(Table13[Scenario 5 GHG Total]:Table13[Scenario 5 GHG Total]))</f>
        <v>0.40712058132282436</v>
      </c>
      <c r="AI19" s="20" t="s">
        <v>55</v>
      </c>
      <c r="AJ19" s="20" t="s">
        <v>56</v>
      </c>
      <c r="AK19" s="20" t="s">
        <v>56</v>
      </c>
      <c r="AL19" s="20" t="s">
        <v>55</v>
      </c>
      <c r="AM19" s="20" t="s">
        <v>55</v>
      </c>
      <c r="AN19" s="21">
        <f>VLOOKUP($G19,Info!$A$40:$C$48,3,FALSE)</f>
        <v>2</v>
      </c>
      <c r="AO19" s="21">
        <f>HLOOKUP(Calculations!AI19,Info!$C$31:$F$36,2,FALSE)</f>
        <v>1</v>
      </c>
      <c r="AP19" s="21">
        <f>HLOOKUP(Calculations!AJ19,Info!$C$31:$F$36,3,FALSE)</f>
        <v>1.05</v>
      </c>
      <c r="AQ19" s="21">
        <f>HLOOKUP(Calculations!AK19,Info!$C$31:$F$36,4,FALSE)</f>
        <v>1.1000000000000001</v>
      </c>
      <c r="AR19" s="21">
        <f>HLOOKUP(Calculations!AL19,Info!$C$31:$F$36,5,FALSE)</f>
        <v>1</v>
      </c>
      <c r="AS19" s="21">
        <f>HLOOKUP(Calculations!AM19,Info!$C$31:$F$36,6,FALSE)</f>
        <v>1</v>
      </c>
      <c r="AT19" s="20" t="s">
        <v>55</v>
      </c>
      <c r="AU19" s="20" t="s">
        <v>55</v>
      </c>
      <c r="AV19" s="20" t="s">
        <v>56</v>
      </c>
      <c r="AW19" s="20" t="s">
        <v>56</v>
      </c>
      <c r="AX19" s="20" t="s">
        <v>55</v>
      </c>
      <c r="AY19" s="21">
        <f>VLOOKUP($G19,Info!$A$40:$C$48,3,FALSE)</f>
        <v>2</v>
      </c>
      <c r="AZ19" s="21">
        <f>HLOOKUP(Calculations!AT19,Info!$C$31:$F$36,2,FALSE)</f>
        <v>1</v>
      </c>
      <c r="BA19" s="21">
        <f>HLOOKUP(Calculations!AU19,Info!$C$31:$F$36,3,FALSE)</f>
        <v>1</v>
      </c>
      <c r="BB19" s="21">
        <f>HLOOKUP(Calculations!AV19,Info!$C$31:$F$36,4,FALSE)</f>
        <v>1.1000000000000001</v>
      </c>
      <c r="BC19" s="21">
        <f>HLOOKUP(Calculations!AW19,Info!$C$31:$F$36,5,FALSE)</f>
        <v>1.02</v>
      </c>
      <c r="BD19" s="21">
        <f>HLOOKUP(Calculations!AX19,Info!$C$31:$F$36,6,FALSE)</f>
        <v>1</v>
      </c>
      <c r="BE19" s="57">
        <f>EXP(((LN(Table13[[#This Row],[Activity Data Base Uncertainty]]))^2+(LN(Table13[[#This Row],[Activity Data Reliability Factor]]))^2+(LN(Table13[[#This Row],[Activity Data Completeness Factor]]))^2+(LN(Table13[[#This Row],[Activity Data Temporal Representativeness Factor]]))^2+((LN(Table13[[#This Row],[Activity Data Geographic Representativeness Factor]]))^2+(LN(Table13[[#This Row],[Activity Data Technological Representativeness Factor]]))^2))^0.5)</f>
        <v>2.0165100575215882</v>
      </c>
      <c r="BF19" s="78">
        <f t="shared" si="1"/>
        <v>1.4200387521196696</v>
      </c>
      <c r="BG19" s="57">
        <f>EXP(((LN(Table13[[#This Row],[Emission Factor Data Base Uncertainty Factor]]))^2+(LN(Table13[[#This Row],[Emission Factor Data Reliability Factor]]))^2+(LN(Table13[[#This Row],[Emission Factor Data Completeness Factor]]))^2+(LN(Table13[[#This Row],[Emission Factor Data Temporal Representativeness Factor]]))^2+(LN(Table13[[#This Row],[Emission Factor Data Geographic Representativeness Factor]]))^2+(LN(Table13[[#This Row],[Emission Factor Data Technological Representativeness Factor]]))^2)^0.5)</f>
        <v>2.013650851244031</v>
      </c>
      <c r="BH19" s="78">
        <f t="shared" si="0"/>
        <v>1.4190316597046138</v>
      </c>
      <c r="BI19" s="57">
        <f>EXP(((Table13[[#This Row],[% GWP from other gases]]^2)*(LN(Info!$B$27))^2)^0.5)</f>
        <v>1.35</v>
      </c>
      <c r="BJ19" s="78">
        <f>Table13[[#This Row],[GWP GSD2]]^0.5</f>
        <v>1.1618950038622251</v>
      </c>
      <c r="BK19" s="57">
        <f>(Table13[[#This Row],[Percent contribution to Baseline inventory]]^2)*((LN(Table13[[#This Row],[Emission Factor GSD]]))^2)</f>
        <v>2.030109383973093E-2</v>
      </c>
      <c r="BL19" s="56">
        <f>(Table13[[#This Row],[Percent contribution to Baseline inventory]]^2)*((LN(Table13[[#This Row],[Activity Data GSD]]))^2)</f>
        <v>2.038348410783531E-2</v>
      </c>
      <c r="BM19" s="57">
        <f>(Table13[[#This Row],[Percent contribution to Baseline inventory]]^2)*((LN(Table13[[#This Row],[GWP GSD]]))^2)</f>
        <v>3.7319121127369292E-3</v>
      </c>
      <c r="BN19" s="57">
        <f>SUM(Table13[[#This Row],[Baseline Emission Factor Uncertainty Component]:[Baseline GWP Uncertainty Component]])</f>
        <v>4.4416490060303168E-2</v>
      </c>
      <c r="BO19" s="57">
        <f>(Table13[[#This Row],[Percent contribution to Scenario 2 inventory]]^2)*((LN(Table13[[#This Row],[Emission Factor GSD]]))^2)</f>
        <v>2.030109383973093E-2</v>
      </c>
      <c r="BP19" s="57">
        <f>(Table13[[#This Row],[Percent contribution to Scenario 2 inventory]]^2)*((LN(Table13[[#This Row],[Activity Data GSD]]))^2)</f>
        <v>2.038348410783531E-2</v>
      </c>
      <c r="BQ19" s="57">
        <f>(Table13[[#This Row],[Percent contribution to Scenario 2 inventory]]^2)*((LN(Table13[[#This Row],[GWP GSD]]))^2)</f>
        <v>3.7319121127369292E-3</v>
      </c>
      <c r="BR19" s="57">
        <f>SUM(Table13[[#This Row],[Scenario 2 Emission Factor Uncertainty Component]:[Scenario 2 GWP Uncertainty Component]])</f>
        <v>4.4416490060303168E-2</v>
      </c>
      <c r="BS19" s="57">
        <f>(Table13[[#This Row],[Percent contribution to Scenario 3 inventory]]^2)*((LN(Table13[[#This Row],[Emission Factor GSD]]))^2)</f>
        <v>2.030109383973093E-2</v>
      </c>
      <c r="BT19" s="57">
        <f>(Table13[[#This Row],[Percent contribution to Scenario 3 inventory]]^2)*((LN(Table13[[#This Row],[Activity Data GSD]]))^2)</f>
        <v>2.038348410783531E-2</v>
      </c>
      <c r="BU19" s="57">
        <f>(Table13[[#This Row],[Percent contribution to Scenario 3 inventory]]^2)*((LN(Table13[[#This Row],[GWP GSD]]))^2)</f>
        <v>3.7319121127369292E-3</v>
      </c>
      <c r="BV19" s="57">
        <f>SUM(Table13[[#This Row],[Scenario 3 Emission Factor Uncertainty Component]:[Scenario 3 GWP Uncertainty Component]])</f>
        <v>4.4416490060303168E-2</v>
      </c>
      <c r="BW19" s="57">
        <f>(Table13[[#This Row],[Percent contribution to Scenario 4 inventory]]^2)*((LN(Table13[[#This Row],[Emission Factor GSD]]))^2)</f>
        <v>2.030109383973093E-2</v>
      </c>
      <c r="BX19" s="57">
        <f>(Table13[[#This Row],[Percent contribution to Scenario 4 inventory]]^2)*((LN(Table13[[#This Row],[Activity Data GSD]]))^2)</f>
        <v>2.038348410783531E-2</v>
      </c>
      <c r="BY19" s="57">
        <f>(Table13[[#This Row],[Percent contribution to Scenario 4 inventory]]^2)*((LN(Table13[[#This Row],[GWP GSD]]))^2)</f>
        <v>3.7319121127369292E-3</v>
      </c>
      <c r="BZ19" s="57">
        <f>SUM(Table13[[#This Row],[Scenario 4 Emission Factor Uncertainty Component]:[Scenario 4 GWP Uncertainty Component]])</f>
        <v>4.4416490060303168E-2</v>
      </c>
      <c r="CA19" s="57">
        <f>(Table13[[#This Row],[Percent contribution to Scenario 5 inventory]]^2)*((LN(Table13[[#This Row],[Emission Factor GSD]]))^2)</f>
        <v>2.0301093839730937E-2</v>
      </c>
      <c r="CB19" s="57">
        <f>(Table13[[#This Row],[Percent contribution to Scenario 5 inventory]]^2)*((LN(Table13[[#This Row],[Activity Data GSD]]))^2)</f>
        <v>2.0383484107835317E-2</v>
      </c>
      <c r="CC19" s="57">
        <f>(Table13[[#This Row],[Percent contribution to Scenario 5 inventory]]^2)*((LN(Table13[[#This Row],[GWP GSD]]))^2)</f>
        <v>3.7319121127369305E-3</v>
      </c>
      <c r="CD19" s="57">
        <f>SUM(Table13[[#This Row],[Scenario 5 Emission Factor Uncertainty Component]:[Scenario 5 GWP Uncertainty Component]])</f>
        <v>4.4416490060303182E-2</v>
      </c>
      <c r="CE19" s="42"/>
    </row>
    <row r="20" spans="1:83" s="24" customFormat="1" x14ac:dyDescent="0.2">
      <c r="A20" s="23"/>
      <c r="B20" s="23"/>
      <c r="C20" s="19"/>
      <c r="D20" s="23"/>
      <c r="E20" s="23"/>
      <c r="F20" s="23"/>
      <c r="G20" s="23"/>
      <c r="H20" s="23"/>
      <c r="I20" s="23"/>
      <c r="J20" s="23"/>
      <c r="K20" s="23"/>
      <c r="L20" s="23"/>
      <c r="M20" s="23"/>
      <c r="N20" s="20"/>
      <c r="O20" s="50"/>
      <c r="P20" s="51"/>
      <c r="Q20" s="20"/>
      <c r="R20" s="20"/>
      <c r="S20" s="20"/>
      <c r="T20" s="20"/>
      <c r="U20" s="20"/>
      <c r="V20" s="20"/>
      <c r="W20" s="20"/>
      <c r="X20" s="20"/>
      <c r="Y20" s="53"/>
      <c r="Z20" s="21"/>
      <c r="AA20" s="21"/>
      <c r="AB20" s="21"/>
      <c r="AC20" s="21"/>
      <c r="AD20" s="54"/>
      <c r="AE20" s="54"/>
      <c r="AF20" s="54"/>
      <c r="AG20" s="54"/>
      <c r="AH20" s="54"/>
      <c r="AI20" s="20"/>
      <c r="AJ20" s="20"/>
      <c r="AK20" s="20"/>
      <c r="AL20" s="20"/>
      <c r="AM20" s="20"/>
      <c r="AN20" s="21"/>
      <c r="AO20" s="21"/>
      <c r="AP20" s="21"/>
      <c r="AQ20" s="21"/>
      <c r="AR20" s="21"/>
      <c r="AS20" s="21"/>
      <c r="AT20" s="20"/>
      <c r="AU20" s="20"/>
      <c r="AV20" s="20"/>
      <c r="AW20" s="20"/>
      <c r="AX20" s="20"/>
      <c r="AY20" s="21"/>
      <c r="AZ20" s="21"/>
      <c r="BA20" s="21"/>
      <c r="BB20" s="21"/>
      <c r="BC20" s="21"/>
      <c r="BD20" s="21"/>
      <c r="BE20" s="53"/>
      <c r="BF20" s="25"/>
      <c r="BG20" s="53"/>
      <c r="BH20" s="25"/>
      <c r="BI20" s="21"/>
      <c r="BJ20" s="20"/>
      <c r="BK20" s="21"/>
      <c r="BL20" s="21"/>
      <c r="BM20" s="21"/>
      <c r="BN20" s="21"/>
      <c r="BO20" s="21"/>
      <c r="BP20" s="21"/>
      <c r="BQ20" s="21"/>
      <c r="BR20" s="21"/>
      <c r="BS20" s="21"/>
      <c r="BT20" s="21"/>
      <c r="BU20" s="21"/>
      <c r="BV20" s="21"/>
      <c r="BW20" s="21"/>
      <c r="BX20" s="21"/>
      <c r="BY20" s="21"/>
      <c r="BZ20" s="21"/>
      <c r="CA20" s="21"/>
      <c r="CB20" s="21"/>
      <c r="CC20" s="21"/>
      <c r="CD20" s="21"/>
      <c r="CE20" s="43"/>
    </row>
    <row r="21" spans="1:83" s="24" customFormat="1" x14ac:dyDescent="0.2">
      <c r="A21" s="23"/>
      <c r="B21" s="23"/>
      <c r="C21" s="19"/>
      <c r="D21" s="23"/>
      <c r="E21" s="23"/>
      <c r="F21" s="23"/>
      <c r="G21" s="23"/>
      <c r="H21" s="23"/>
      <c r="I21" s="23"/>
      <c r="J21" s="23"/>
      <c r="K21" s="23"/>
      <c r="L21" s="23"/>
      <c r="M21" s="23"/>
      <c r="N21" s="20"/>
      <c r="O21" s="50"/>
      <c r="P21" s="51"/>
      <c r="Q21" s="20"/>
      <c r="R21" s="20"/>
      <c r="S21" s="20"/>
      <c r="T21" s="20"/>
      <c r="U21" s="20"/>
      <c r="V21" s="20"/>
      <c r="W21" s="20"/>
      <c r="X21" s="20"/>
      <c r="Y21" s="53"/>
      <c r="Z21" s="21"/>
      <c r="AA21" s="21"/>
      <c r="AB21" s="21"/>
      <c r="AC21" s="21"/>
      <c r="AD21" s="54"/>
      <c r="AE21" s="54"/>
      <c r="AF21" s="54"/>
      <c r="AG21" s="54"/>
      <c r="AH21" s="54"/>
      <c r="AI21" s="20"/>
      <c r="AJ21" s="20"/>
      <c r="AK21" s="20"/>
      <c r="AL21" s="20"/>
      <c r="AM21" s="20"/>
      <c r="AN21" s="21"/>
      <c r="AO21" s="21"/>
      <c r="AP21" s="21"/>
      <c r="AQ21" s="21"/>
      <c r="AR21" s="21"/>
      <c r="AS21" s="21"/>
      <c r="AT21" s="20"/>
      <c r="AU21" s="20"/>
      <c r="AV21" s="20"/>
      <c r="AW21" s="20"/>
      <c r="AX21" s="20"/>
      <c r="AY21" s="21"/>
      <c r="AZ21" s="21"/>
      <c r="BA21" s="21"/>
      <c r="BB21" s="21"/>
      <c r="BC21" s="21"/>
      <c r="BD21" s="21"/>
      <c r="BE21" s="53"/>
      <c r="BF21" s="25"/>
      <c r="BG21" s="53"/>
      <c r="BH21" s="25"/>
      <c r="BI21" s="21"/>
      <c r="BJ21" s="20"/>
      <c r="BK21" s="21"/>
      <c r="BL21" s="21"/>
      <c r="BM21" s="21"/>
      <c r="BN21" s="21"/>
      <c r="BO21" s="21"/>
      <c r="BP21" s="21"/>
      <c r="BQ21" s="21"/>
      <c r="BR21" s="21"/>
      <c r="BS21" s="21"/>
      <c r="BT21" s="21"/>
      <c r="BU21" s="21"/>
      <c r="BV21" s="21"/>
      <c r="BW21" s="21"/>
      <c r="BX21" s="21"/>
      <c r="BY21" s="21"/>
      <c r="BZ21" s="21"/>
      <c r="CA21" s="21"/>
      <c r="CB21" s="21"/>
      <c r="CC21" s="21"/>
      <c r="CD21" s="21"/>
      <c r="CE21" s="43"/>
    </row>
    <row r="22" spans="1:83" s="24" customFormat="1" x14ac:dyDescent="0.2">
      <c r="A22" s="23"/>
      <c r="B22" s="23"/>
      <c r="C22" s="19"/>
      <c r="D22" s="23"/>
      <c r="E22" s="23"/>
      <c r="F22" s="23"/>
      <c r="G22" s="23"/>
      <c r="H22" s="23"/>
      <c r="I22" s="23"/>
      <c r="J22" s="23"/>
      <c r="K22" s="23"/>
      <c r="L22" s="23"/>
      <c r="M22" s="23"/>
      <c r="N22" s="20"/>
      <c r="O22" s="50"/>
      <c r="P22" s="51"/>
      <c r="Q22" s="20"/>
      <c r="R22" s="20"/>
      <c r="S22" s="20"/>
      <c r="T22" s="20"/>
      <c r="U22" s="20"/>
      <c r="V22" s="20"/>
      <c r="W22" s="20"/>
      <c r="X22" s="20"/>
      <c r="Y22" s="53"/>
      <c r="Z22" s="21"/>
      <c r="AA22" s="21"/>
      <c r="AB22" s="21"/>
      <c r="AC22" s="21"/>
      <c r="AD22" s="54"/>
      <c r="AE22" s="54"/>
      <c r="AF22" s="54"/>
      <c r="AG22" s="54"/>
      <c r="AH22" s="54"/>
      <c r="AI22" s="20"/>
      <c r="AJ22" s="20"/>
      <c r="AK22" s="20"/>
      <c r="AL22" s="20"/>
      <c r="AM22" s="20"/>
      <c r="AN22" s="21"/>
      <c r="AO22" s="21"/>
      <c r="AP22" s="21"/>
      <c r="AQ22" s="21"/>
      <c r="AR22" s="21"/>
      <c r="AS22" s="21"/>
      <c r="AT22" s="20"/>
      <c r="AU22" s="20"/>
      <c r="AV22" s="20"/>
      <c r="AW22" s="20"/>
      <c r="AX22" s="20"/>
      <c r="AY22" s="21"/>
      <c r="AZ22" s="21"/>
      <c r="BA22" s="21"/>
      <c r="BB22" s="21"/>
      <c r="BC22" s="21"/>
      <c r="BD22" s="21"/>
      <c r="BE22" s="53"/>
      <c r="BF22" s="25"/>
      <c r="BG22" s="53"/>
      <c r="BH22" s="25"/>
      <c r="BI22" s="21"/>
      <c r="BJ22" s="20"/>
      <c r="BK22" s="21"/>
      <c r="BL22" s="21"/>
      <c r="BM22" s="21"/>
      <c r="BN22" s="21"/>
      <c r="BO22" s="21"/>
      <c r="BP22" s="21"/>
      <c r="BQ22" s="21"/>
      <c r="BR22" s="21"/>
      <c r="BS22" s="21"/>
      <c r="BT22" s="21"/>
      <c r="BU22" s="21"/>
      <c r="BV22" s="21"/>
      <c r="BW22" s="21"/>
      <c r="BX22" s="21"/>
      <c r="BY22" s="21"/>
      <c r="BZ22" s="21"/>
      <c r="CA22" s="21"/>
      <c r="CB22" s="21"/>
      <c r="CC22" s="21"/>
      <c r="CD22" s="21"/>
      <c r="CE22" s="43"/>
    </row>
    <row r="23" spans="1:83" s="24" customFormat="1" x14ac:dyDescent="0.2">
      <c r="A23" s="23"/>
      <c r="B23" s="23"/>
      <c r="C23" s="19"/>
      <c r="D23" s="23"/>
      <c r="E23" s="23"/>
      <c r="F23" s="23"/>
      <c r="G23" s="23"/>
      <c r="H23" s="23"/>
      <c r="I23" s="23"/>
      <c r="J23" s="23"/>
      <c r="K23" s="23"/>
      <c r="L23" s="23"/>
      <c r="M23" s="23"/>
      <c r="N23" s="20"/>
      <c r="O23" s="50"/>
      <c r="P23" s="51"/>
      <c r="Q23" s="20"/>
      <c r="R23" s="20"/>
      <c r="S23" s="20"/>
      <c r="T23" s="20"/>
      <c r="U23" s="20"/>
      <c r="V23" s="20"/>
      <c r="W23" s="20"/>
      <c r="X23" s="20"/>
      <c r="Y23" s="53"/>
      <c r="Z23" s="21"/>
      <c r="AA23" s="21"/>
      <c r="AB23" s="21"/>
      <c r="AC23" s="21"/>
      <c r="AD23" s="54"/>
      <c r="AE23" s="54"/>
      <c r="AF23" s="54"/>
      <c r="AG23" s="54"/>
      <c r="AH23" s="54"/>
      <c r="AI23" s="20"/>
      <c r="AJ23" s="20"/>
      <c r="AK23" s="20"/>
      <c r="AL23" s="20"/>
      <c r="AM23" s="20"/>
      <c r="AN23" s="21"/>
      <c r="AO23" s="21"/>
      <c r="AP23" s="21"/>
      <c r="AQ23" s="21"/>
      <c r="AR23" s="21"/>
      <c r="AS23" s="21"/>
      <c r="AT23" s="20"/>
      <c r="AU23" s="20"/>
      <c r="AV23" s="20"/>
      <c r="AW23" s="20"/>
      <c r="AX23" s="20"/>
      <c r="AY23" s="21"/>
      <c r="AZ23" s="21"/>
      <c r="BA23" s="21"/>
      <c r="BB23" s="21"/>
      <c r="BC23" s="21"/>
      <c r="BD23" s="21"/>
      <c r="BE23" s="53"/>
      <c r="BF23" s="25"/>
      <c r="BG23" s="53"/>
      <c r="BH23" s="25"/>
      <c r="BI23" s="21"/>
      <c r="BJ23" s="20"/>
      <c r="BK23" s="21"/>
      <c r="BL23" s="21"/>
      <c r="BM23" s="21"/>
      <c r="BN23" s="21"/>
      <c r="BO23" s="21"/>
      <c r="BP23" s="21"/>
      <c r="BQ23" s="21"/>
      <c r="BR23" s="21"/>
      <c r="BS23" s="21"/>
      <c r="BT23" s="21"/>
      <c r="BU23" s="21"/>
      <c r="BV23" s="21"/>
      <c r="BW23" s="21"/>
      <c r="BX23" s="21"/>
      <c r="BY23" s="21"/>
      <c r="BZ23" s="21"/>
      <c r="CA23" s="21"/>
      <c r="CB23" s="21"/>
      <c r="CC23" s="21"/>
      <c r="CD23" s="21"/>
      <c r="CE23" s="43"/>
    </row>
    <row r="24" spans="1:83" s="24" customFormat="1" x14ac:dyDescent="0.2">
      <c r="A24" s="23"/>
      <c r="B24" s="23"/>
      <c r="C24" s="19"/>
      <c r="D24" s="23"/>
      <c r="E24" s="23"/>
      <c r="F24" s="23"/>
      <c r="G24" s="23"/>
      <c r="H24" s="23"/>
      <c r="I24" s="23"/>
      <c r="J24" s="23"/>
      <c r="K24" s="23"/>
      <c r="L24" s="23"/>
      <c r="M24" s="23"/>
      <c r="N24" s="20"/>
      <c r="O24" s="50"/>
      <c r="P24" s="51"/>
      <c r="Q24" s="20"/>
      <c r="R24" s="20"/>
      <c r="S24" s="20"/>
      <c r="T24" s="20"/>
      <c r="U24" s="20"/>
      <c r="V24" s="20"/>
      <c r="W24" s="20"/>
      <c r="X24" s="20"/>
      <c r="Y24" s="53"/>
      <c r="Z24" s="21"/>
      <c r="AA24" s="21"/>
      <c r="AB24" s="21"/>
      <c r="AC24" s="21"/>
      <c r="AD24" s="54"/>
      <c r="AE24" s="54"/>
      <c r="AF24" s="54"/>
      <c r="AG24" s="54"/>
      <c r="AH24" s="54"/>
      <c r="AI24" s="20"/>
      <c r="AJ24" s="20"/>
      <c r="AK24" s="20"/>
      <c r="AL24" s="20"/>
      <c r="AM24" s="20"/>
      <c r="AN24" s="21"/>
      <c r="AO24" s="21"/>
      <c r="AP24" s="21"/>
      <c r="AQ24" s="21"/>
      <c r="AR24" s="21"/>
      <c r="AS24" s="21"/>
      <c r="AT24" s="20"/>
      <c r="AU24" s="20"/>
      <c r="AV24" s="20"/>
      <c r="AW24" s="20"/>
      <c r="AX24" s="20"/>
      <c r="AY24" s="21"/>
      <c r="AZ24" s="21"/>
      <c r="BA24" s="21"/>
      <c r="BB24" s="21"/>
      <c r="BC24" s="21"/>
      <c r="BD24" s="21"/>
      <c r="BE24" s="53"/>
      <c r="BF24" s="25"/>
      <c r="BG24" s="53"/>
      <c r="BH24" s="25"/>
      <c r="BI24" s="21"/>
      <c r="BJ24" s="20"/>
      <c r="BK24" s="21"/>
      <c r="BL24" s="21"/>
      <c r="BM24" s="21"/>
      <c r="BN24" s="21"/>
      <c r="BO24" s="21"/>
      <c r="BP24" s="21"/>
      <c r="BQ24" s="21"/>
      <c r="BR24" s="21"/>
      <c r="BS24" s="21"/>
      <c r="BT24" s="21"/>
      <c r="BU24" s="21"/>
      <c r="BV24" s="21"/>
      <c r="BW24" s="21"/>
      <c r="BX24" s="21"/>
      <c r="BY24" s="21"/>
      <c r="BZ24" s="21"/>
      <c r="CA24" s="21"/>
      <c r="CB24" s="21"/>
      <c r="CC24" s="21"/>
      <c r="CD24" s="21"/>
      <c r="CE24" s="43"/>
    </row>
    <row r="25" spans="1:83" s="24" customFormat="1" x14ac:dyDescent="0.2">
      <c r="A25" s="23"/>
      <c r="B25" s="23"/>
      <c r="C25" s="19"/>
      <c r="D25" s="23"/>
      <c r="E25" s="23"/>
      <c r="F25" s="23"/>
      <c r="G25" s="23"/>
      <c r="H25" s="23"/>
      <c r="I25" s="23"/>
      <c r="J25" s="23"/>
      <c r="K25" s="23"/>
      <c r="L25" s="23"/>
      <c r="M25" s="23"/>
      <c r="N25" s="20"/>
      <c r="O25" s="50"/>
      <c r="P25" s="51"/>
      <c r="Q25" s="20"/>
      <c r="R25" s="20"/>
      <c r="S25" s="20"/>
      <c r="T25" s="20"/>
      <c r="U25" s="20"/>
      <c r="V25" s="20"/>
      <c r="W25" s="20"/>
      <c r="X25" s="20"/>
      <c r="Y25" s="53"/>
      <c r="Z25" s="21"/>
      <c r="AA25" s="21"/>
      <c r="AB25" s="21"/>
      <c r="AC25" s="21"/>
      <c r="AD25" s="54"/>
      <c r="AE25" s="54"/>
      <c r="AF25" s="54"/>
      <c r="AG25" s="54"/>
      <c r="AH25" s="54"/>
      <c r="AI25" s="20"/>
      <c r="AJ25" s="20"/>
      <c r="AK25" s="20"/>
      <c r="AL25" s="20"/>
      <c r="AM25" s="20"/>
      <c r="AN25" s="21"/>
      <c r="AO25" s="21"/>
      <c r="AP25" s="21"/>
      <c r="AQ25" s="21"/>
      <c r="AR25" s="21"/>
      <c r="AS25" s="21"/>
      <c r="AT25" s="20"/>
      <c r="AU25" s="20"/>
      <c r="AV25" s="20"/>
      <c r="AW25" s="20"/>
      <c r="AX25" s="20"/>
      <c r="AY25" s="21"/>
      <c r="AZ25" s="21"/>
      <c r="BA25" s="21"/>
      <c r="BB25" s="21"/>
      <c r="BC25" s="21"/>
      <c r="BD25" s="21"/>
      <c r="BE25" s="53"/>
      <c r="BF25" s="25"/>
      <c r="BG25" s="53"/>
      <c r="BH25" s="25"/>
      <c r="BI25" s="21"/>
      <c r="BJ25" s="20"/>
      <c r="BK25" s="21"/>
      <c r="BL25" s="21"/>
      <c r="BM25" s="21"/>
      <c r="BN25" s="21"/>
      <c r="BO25" s="21"/>
      <c r="BP25" s="21"/>
      <c r="BQ25" s="21"/>
      <c r="BR25" s="21"/>
      <c r="BS25" s="21"/>
      <c r="BT25" s="21"/>
      <c r="BU25" s="21"/>
      <c r="BV25" s="21"/>
      <c r="BW25" s="21"/>
      <c r="BX25" s="21"/>
      <c r="BY25" s="21"/>
      <c r="BZ25" s="21"/>
      <c r="CA25" s="21"/>
      <c r="CB25" s="21"/>
      <c r="CC25" s="21"/>
      <c r="CD25" s="21"/>
      <c r="CE25" s="43"/>
    </row>
    <row r="26" spans="1:83" s="24" customFormat="1" x14ac:dyDescent="0.2">
      <c r="A26" s="23"/>
      <c r="B26" s="23"/>
      <c r="C26" s="19"/>
      <c r="D26" s="23"/>
      <c r="E26" s="23"/>
      <c r="F26" s="23"/>
      <c r="G26" s="23"/>
      <c r="H26" s="23"/>
      <c r="I26" s="23"/>
      <c r="J26" s="23"/>
      <c r="K26" s="23"/>
      <c r="L26" s="23"/>
      <c r="M26" s="23"/>
      <c r="N26" s="20"/>
      <c r="O26" s="50"/>
      <c r="P26" s="51"/>
      <c r="Q26" s="20"/>
      <c r="R26" s="20"/>
      <c r="S26" s="20"/>
      <c r="T26" s="20"/>
      <c r="U26" s="20"/>
      <c r="V26" s="20"/>
      <c r="W26" s="20"/>
      <c r="X26" s="20"/>
      <c r="Y26" s="53"/>
      <c r="Z26" s="21"/>
      <c r="AA26" s="21"/>
      <c r="AB26" s="21"/>
      <c r="AC26" s="21"/>
      <c r="AD26" s="54"/>
      <c r="AE26" s="54"/>
      <c r="AF26" s="54"/>
      <c r="AG26" s="54"/>
      <c r="AH26" s="54"/>
      <c r="AI26" s="20"/>
      <c r="AJ26" s="20"/>
      <c r="AK26" s="20"/>
      <c r="AL26" s="20"/>
      <c r="AM26" s="20"/>
      <c r="AN26" s="21"/>
      <c r="AO26" s="21"/>
      <c r="AP26" s="21"/>
      <c r="AQ26" s="21"/>
      <c r="AR26" s="21"/>
      <c r="AS26" s="21"/>
      <c r="AT26" s="20"/>
      <c r="AU26" s="20"/>
      <c r="AV26" s="20"/>
      <c r="AW26" s="20"/>
      <c r="AX26" s="20"/>
      <c r="AY26" s="21"/>
      <c r="AZ26" s="21"/>
      <c r="BA26" s="21"/>
      <c r="BB26" s="21"/>
      <c r="BC26" s="21"/>
      <c r="BD26" s="21"/>
      <c r="BE26" s="53"/>
      <c r="BF26" s="25"/>
      <c r="BG26" s="53"/>
      <c r="BH26" s="25"/>
      <c r="BI26" s="21"/>
      <c r="BJ26" s="20"/>
      <c r="BK26" s="21"/>
      <c r="BL26" s="21"/>
      <c r="BM26" s="21"/>
      <c r="BN26" s="21"/>
      <c r="BO26" s="21"/>
      <c r="BP26" s="21"/>
      <c r="BQ26" s="21"/>
      <c r="BR26" s="21"/>
      <c r="BS26" s="21"/>
      <c r="BT26" s="21"/>
      <c r="BU26" s="21"/>
      <c r="BV26" s="21"/>
      <c r="BW26" s="21"/>
      <c r="BX26" s="21"/>
      <c r="BY26" s="21"/>
      <c r="BZ26" s="21"/>
      <c r="CA26" s="21"/>
      <c r="CB26" s="21"/>
      <c r="CC26" s="21"/>
      <c r="CD26" s="21"/>
      <c r="CE26" s="43"/>
    </row>
    <row r="27" spans="1:83" s="24" customFormat="1" x14ac:dyDescent="0.2">
      <c r="A27" s="23"/>
      <c r="B27" s="23"/>
      <c r="C27" s="19"/>
      <c r="D27" s="23"/>
      <c r="E27" s="23"/>
      <c r="F27" s="23"/>
      <c r="G27" s="23"/>
      <c r="H27" s="23"/>
      <c r="I27" s="23"/>
      <c r="J27" s="23"/>
      <c r="K27" s="23"/>
      <c r="L27" s="23"/>
      <c r="M27" s="23"/>
      <c r="N27" s="20"/>
      <c r="O27" s="50"/>
      <c r="P27" s="51"/>
      <c r="Q27" s="20"/>
      <c r="R27" s="20"/>
      <c r="S27" s="20"/>
      <c r="T27" s="20"/>
      <c r="U27" s="20"/>
      <c r="V27" s="20"/>
      <c r="W27" s="20"/>
      <c r="X27" s="20"/>
      <c r="Y27" s="53"/>
      <c r="Z27" s="21"/>
      <c r="AA27" s="21"/>
      <c r="AB27" s="21"/>
      <c r="AC27" s="21"/>
      <c r="AD27" s="54"/>
      <c r="AE27" s="54"/>
      <c r="AF27" s="54"/>
      <c r="AG27" s="54"/>
      <c r="AH27" s="54"/>
      <c r="AI27" s="20"/>
      <c r="AJ27" s="20"/>
      <c r="AK27" s="20"/>
      <c r="AL27" s="20"/>
      <c r="AM27" s="20"/>
      <c r="AN27" s="21"/>
      <c r="AO27" s="21"/>
      <c r="AP27" s="21"/>
      <c r="AQ27" s="21"/>
      <c r="AR27" s="21"/>
      <c r="AS27" s="21"/>
      <c r="AT27" s="20"/>
      <c r="AU27" s="20"/>
      <c r="AV27" s="20"/>
      <c r="AW27" s="20"/>
      <c r="AX27" s="20"/>
      <c r="AY27" s="21"/>
      <c r="AZ27" s="21"/>
      <c r="BA27" s="21"/>
      <c r="BB27" s="21"/>
      <c r="BC27" s="21"/>
      <c r="BD27" s="21"/>
      <c r="BE27" s="53"/>
      <c r="BF27" s="25"/>
      <c r="BG27" s="53"/>
      <c r="BH27" s="25"/>
      <c r="BI27" s="21"/>
      <c r="BJ27" s="20"/>
      <c r="BK27" s="21"/>
      <c r="BL27" s="21"/>
      <c r="BM27" s="21"/>
      <c r="BN27" s="21"/>
      <c r="BO27" s="21"/>
      <c r="BP27" s="21"/>
      <c r="BQ27" s="21"/>
      <c r="BR27" s="21"/>
      <c r="BS27" s="21"/>
      <c r="BT27" s="21"/>
      <c r="BU27" s="21"/>
      <c r="BV27" s="21"/>
      <c r="BW27" s="21"/>
      <c r="BX27" s="21"/>
      <c r="BY27" s="21"/>
      <c r="BZ27" s="21"/>
      <c r="CA27" s="21"/>
      <c r="CB27" s="21"/>
      <c r="CC27" s="21"/>
      <c r="CD27" s="21"/>
      <c r="CE27" s="43"/>
    </row>
    <row r="28" spans="1:83" s="24" customFormat="1" x14ac:dyDescent="0.2">
      <c r="A28" s="23"/>
      <c r="B28" s="23"/>
      <c r="C28" s="19"/>
      <c r="D28" s="23"/>
      <c r="E28" s="23"/>
      <c r="F28" s="23"/>
      <c r="G28" s="23"/>
      <c r="H28" s="23"/>
      <c r="I28" s="23"/>
      <c r="J28" s="23"/>
      <c r="K28" s="23"/>
      <c r="L28" s="23"/>
      <c r="M28" s="23"/>
      <c r="N28" s="20"/>
      <c r="O28" s="50"/>
      <c r="P28" s="51"/>
      <c r="Q28" s="20"/>
      <c r="R28" s="20"/>
      <c r="S28" s="20"/>
      <c r="T28" s="20"/>
      <c r="U28" s="20"/>
      <c r="V28" s="20"/>
      <c r="W28" s="20"/>
      <c r="X28" s="20"/>
      <c r="Y28" s="53"/>
      <c r="Z28" s="21"/>
      <c r="AA28" s="21"/>
      <c r="AB28" s="21"/>
      <c r="AC28" s="21"/>
      <c r="AD28" s="54"/>
      <c r="AE28" s="54"/>
      <c r="AF28" s="54"/>
      <c r="AG28" s="54"/>
      <c r="AH28" s="54"/>
      <c r="AI28" s="20"/>
      <c r="AJ28" s="20"/>
      <c r="AK28" s="20"/>
      <c r="AL28" s="20"/>
      <c r="AM28" s="20"/>
      <c r="AN28" s="21"/>
      <c r="AO28" s="21"/>
      <c r="AP28" s="21"/>
      <c r="AQ28" s="21"/>
      <c r="AR28" s="21"/>
      <c r="AS28" s="21"/>
      <c r="AT28" s="20"/>
      <c r="AU28" s="20"/>
      <c r="AV28" s="20"/>
      <c r="AW28" s="20"/>
      <c r="AX28" s="20"/>
      <c r="AY28" s="21"/>
      <c r="AZ28" s="21"/>
      <c r="BA28" s="21"/>
      <c r="BB28" s="21"/>
      <c r="BC28" s="21"/>
      <c r="BD28" s="21"/>
      <c r="BE28" s="53"/>
      <c r="BF28" s="25"/>
      <c r="BG28" s="53"/>
      <c r="BH28" s="25"/>
      <c r="BI28" s="21"/>
      <c r="BJ28" s="20"/>
      <c r="BK28" s="21"/>
      <c r="BL28" s="21"/>
      <c r="BM28" s="21"/>
      <c r="BN28" s="21"/>
      <c r="BO28" s="21"/>
      <c r="BP28" s="21"/>
      <c r="BQ28" s="21"/>
      <c r="BR28" s="21"/>
      <c r="BS28" s="21"/>
      <c r="BT28" s="21"/>
      <c r="BU28" s="21"/>
      <c r="BV28" s="21"/>
      <c r="BW28" s="21"/>
      <c r="BX28" s="21"/>
      <c r="BY28" s="21"/>
      <c r="BZ28" s="21"/>
      <c r="CA28" s="21"/>
      <c r="CB28" s="21"/>
      <c r="CC28" s="21"/>
      <c r="CD28" s="21"/>
      <c r="CE28" s="43"/>
    </row>
    <row r="29" spans="1:83" s="24" customFormat="1" x14ac:dyDescent="0.2">
      <c r="A29" s="23"/>
      <c r="B29" s="23"/>
      <c r="C29" s="19"/>
      <c r="D29" s="23"/>
      <c r="E29" s="23"/>
      <c r="F29" s="23"/>
      <c r="G29" s="23"/>
      <c r="H29" s="23"/>
      <c r="I29" s="23"/>
      <c r="J29" s="23"/>
      <c r="K29" s="23"/>
      <c r="L29" s="23"/>
      <c r="M29" s="23"/>
      <c r="N29" s="20"/>
      <c r="O29" s="50"/>
      <c r="P29" s="51"/>
      <c r="Q29" s="20"/>
      <c r="R29" s="20"/>
      <c r="S29" s="20"/>
      <c r="T29" s="20"/>
      <c r="U29" s="20"/>
      <c r="V29" s="20"/>
      <c r="W29" s="20"/>
      <c r="X29" s="20"/>
      <c r="Y29" s="53"/>
      <c r="Z29" s="21"/>
      <c r="AA29" s="21"/>
      <c r="AB29" s="21"/>
      <c r="AC29" s="21"/>
      <c r="AD29" s="54"/>
      <c r="AE29" s="54"/>
      <c r="AF29" s="54"/>
      <c r="AG29" s="54"/>
      <c r="AH29" s="54"/>
      <c r="AI29" s="20"/>
      <c r="AJ29" s="20"/>
      <c r="AK29" s="20"/>
      <c r="AL29" s="20"/>
      <c r="AM29" s="20"/>
      <c r="AN29" s="21"/>
      <c r="AO29" s="21"/>
      <c r="AP29" s="21"/>
      <c r="AQ29" s="21"/>
      <c r="AR29" s="21"/>
      <c r="AS29" s="21"/>
      <c r="AT29" s="20"/>
      <c r="AU29" s="20"/>
      <c r="AV29" s="20"/>
      <c r="AW29" s="20"/>
      <c r="AX29" s="20"/>
      <c r="AY29" s="21"/>
      <c r="AZ29" s="21"/>
      <c r="BA29" s="21"/>
      <c r="BB29" s="21"/>
      <c r="BC29" s="21"/>
      <c r="BD29" s="21"/>
      <c r="BE29" s="53"/>
      <c r="BF29" s="25"/>
      <c r="BG29" s="53"/>
      <c r="BH29" s="25"/>
      <c r="BI29" s="21"/>
      <c r="BJ29" s="20"/>
      <c r="BK29" s="21"/>
      <c r="BL29" s="21"/>
      <c r="BM29" s="21"/>
      <c r="BN29" s="21"/>
      <c r="BO29" s="21"/>
      <c r="BP29" s="21"/>
      <c r="BQ29" s="21"/>
      <c r="BR29" s="21"/>
      <c r="BS29" s="21"/>
      <c r="BT29" s="21"/>
      <c r="BU29" s="21"/>
      <c r="BV29" s="21"/>
      <c r="BW29" s="21"/>
      <c r="BX29" s="21"/>
      <c r="BY29" s="21"/>
      <c r="BZ29" s="21"/>
      <c r="CA29" s="21"/>
      <c r="CB29" s="21"/>
      <c r="CC29" s="21"/>
      <c r="CD29" s="21"/>
      <c r="CE29" s="43"/>
    </row>
    <row r="30" spans="1:83" s="24" customFormat="1" x14ac:dyDescent="0.2">
      <c r="A30" s="23"/>
      <c r="B30" s="23"/>
      <c r="C30" s="19"/>
      <c r="D30" s="23"/>
      <c r="E30" s="23"/>
      <c r="F30" s="23"/>
      <c r="G30" s="23"/>
      <c r="H30" s="23"/>
      <c r="I30" s="23"/>
      <c r="J30" s="23"/>
      <c r="K30" s="23"/>
      <c r="L30" s="23"/>
      <c r="M30" s="23"/>
      <c r="N30" s="20"/>
      <c r="O30" s="50"/>
      <c r="P30" s="51"/>
      <c r="Q30" s="20"/>
      <c r="R30" s="20"/>
      <c r="S30" s="20"/>
      <c r="T30" s="20"/>
      <c r="U30" s="20"/>
      <c r="V30" s="20"/>
      <c r="W30" s="20"/>
      <c r="X30" s="20"/>
      <c r="Y30" s="53"/>
      <c r="Z30" s="21"/>
      <c r="AA30" s="21"/>
      <c r="AB30" s="21"/>
      <c r="AC30" s="21"/>
      <c r="AD30" s="54"/>
      <c r="AE30" s="54"/>
      <c r="AF30" s="54"/>
      <c r="AG30" s="54"/>
      <c r="AH30" s="54"/>
      <c r="AI30" s="20"/>
      <c r="AJ30" s="20"/>
      <c r="AK30" s="20"/>
      <c r="AL30" s="20"/>
      <c r="AM30" s="20"/>
      <c r="AN30" s="21"/>
      <c r="AO30" s="21"/>
      <c r="AP30" s="21"/>
      <c r="AQ30" s="21"/>
      <c r="AR30" s="21"/>
      <c r="AS30" s="21"/>
      <c r="AT30" s="20"/>
      <c r="AU30" s="20"/>
      <c r="AV30" s="20"/>
      <c r="AW30" s="20"/>
      <c r="AX30" s="20"/>
      <c r="AY30" s="21"/>
      <c r="AZ30" s="21"/>
      <c r="BA30" s="21"/>
      <c r="BB30" s="21"/>
      <c r="BC30" s="21"/>
      <c r="BD30" s="21"/>
      <c r="BE30" s="53"/>
      <c r="BF30" s="25"/>
      <c r="BG30" s="53"/>
      <c r="BH30" s="25"/>
      <c r="BI30" s="21"/>
      <c r="BJ30" s="20"/>
      <c r="BK30" s="21"/>
      <c r="BL30" s="21"/>
      <c r="BM30" s="21"/>
      <c r="BN30" s="21"/>
      <c r="BO30" s="21"/>
      <c r="BP30" s="21"/>
      <c r="BQ30" s="21"/>
      <c r="BR30" s="21"/>
      <c r="BS30" s="21"/>
      <c r="BT30" s="21"/>
      <c r="BU30" s="21"/>
      <c r="BV30" s="21"/>
      <c r="BW30" s="21"/>
      <c r="BX30" s="21"/>
      <c r="BY30" s="21"/>
      <c r="BZ30" s="21"/>
      <c r="CA30" s="21"/>
      <c r="CB30" s="21"/>
      <c r="CC30" s="21"/>
      <c r="CD30" s="21"/>
      <c r="CE30" s="43"/>
    </row>
    <row r="31" spans="1:83" s="24" customFormat="1" x14ac:dyDescent="0.2">
      <c r="A31" s="23"/>
      <c r="B31" s="23"/>
      <c r="C31" s="29"/>
      <c r="D31" s="23"/>
      <c r="E31" s="23"/>
      <c r="F31" s="23"/>
      <c r="G31" s="23"/>
      <c r="H31" s="23"/>
      <c r="I31" s="23"/>
      <c r="J31" s="23"/>
      <c r="K31" s="23"/>
      <c r="L31" s="23"/>
      <c r="M31" s="23"/>
      <c r="N31" s="20"/>
      <c r="O31" s="50"/>
      <c r="P31" s="51"/>
      <c r="Q31" s="20"/>
      <c r="R31" s="20"/>
      <c r="S31" s="20"/>
      <c r="T31" s="20"/>
      <c r="U31" s="20"/>
      <c r="V31" s="20"/>
      <c r="W31" s="20"/>
      <c r="X31" s="20"/>
      <c r="Y31" s="53"/>
      <c r="Z31" s="21"/>
      <c r="AA31" s="21"/>
      <c r="AB31" s="21"/>
      <c r="AC31" s="21"/>
      <c r="AD31" s="54"/>
      <c r="AE31" s="54"/>
      <c r="AF31" s="54"/>
      <c r="AG31" s="54"/>
      <c r="AH31" s="54"/>
      <c r="AI31" s="20"/>
      <c r="AJ31" s="20"/>
      <c r="AK31" s="20"/>
      <c r="AL31" s="20"/>
      <c r="AM31" s="20"/>
      <c r="AN31" s="21"/>
      <c r="AO31" s="21"/>
      <c r="AP31" s="21"/>
      <c r="AQ31" s="21"/>
      <c r="AR31" s="21"/>
      <c r="AS31" s="21"/>
      <c r="AT31" s="20"/>
      <c r="AU31" s="20"/>
      <c r="AV31" s="20"/>
      <c r="AW31" s="20"/>
      <c r="AX31" s="20"/>
      <c r="AY31" s="21"/>
      <c r="AZ31" s="21"/>
      <c r="BA31" s="21"/>
      <c r="BB31" s="21"/>
      <c r="BC31" s="21"/>
      <c r="BD31" s="21"/>
      <c r="BE31" s="53"/>
      <c r="BF31" s="25"/>
      <c r="BG31" s="53"/>
      <c r="BH31" s="25"/>
      <c r="BI31" s="21"/>
      <c r="BJ31" s="20"/>
      <c r="BK31" s="21"/>
      <c r="BL31" s="21"/>
      <c r="BM31" s="21"/>
      <c r="BN31" s="21"/>
      <c r="BO31" s="21"/>
      <c r="BP31" s="21"/>
      <c r="BQ31" s="21"/>
      <c r="BR31" s="21"/>
      <c r="BS31" s="21"/>
      <c r="BT31" s="21"/>
      <c r="BU31" s="21"/>
      <c r="BV31" s="21"/>
      <c r="BW31" s="21"/>
      <c r="BX31" s="21"/>
      <c r="BY31" s="21"/>
      <c r="BZ31" s="21"/>
      <c r="CA31" s="21"/>
      <c r="CB31" s="21"/>
      <c r="CC31" s="21"/>
      <c r="CD31" s="21"/>
      <c r="CE31" s="43"/>
    </row>
    <row r="32" spans="1:83" s="24" customFormat="1" x14ac:dyDescent="0.2">
      <c r="A32" s="23"/>
      <c r="B32" s="23"/>
      <c r="C32" s="29"/>
      <c r="D32" s="23"/>
      <c r="E32" s="23"/>
      <c r="F32" s="23"/>
      <c r="G32" s="23"/>
      <c r="H32" s="23"/>
      <c r="I32" s="23"/>
      <c r="J32" s="23"/>
      <c r="K32" s="23"/>
      <c r="L32" s="23"/>
      <c r="M32" s="23"/>
      <c r="N32" s="20"/>
      <c r="O32" s="50"/>
      <c r="P32" s="51"/>
      <c r="Q32" s="20"/>
      <c r="R32" s="20"/>
      <c r="S32" s="20"/>
      <c r="T32" s="20"/>
      <c r="U32" s="20"/>
      <c r="V32" s="20"/>
      <c r="W32" s="20"/>
      <c r="X32" s="20"/>
      <c r="Y32" s="53"/>
      <c r="Z32" s="21"/>
      <c r="AA32" s="21"/>
      <c r="AB32" s="21"/>
      <c r="AC32" s="21"/>
      <c r="AD32" s="54"/>
      <c r="AE32" s="54"/>
      <c r="AF32" s="54"/>
      <c r="AG32" s="54"/>
      <c r="AH32" s="54"/>
      <c r="AI32" s="20"/>
      <c r="AJ32" s="20"/>
      <c r="AK32" s="20"/>
      <c r="AL32" s="20"/>
      <c r="AM32" s="20"/>
      <c r="AN32" s="21"/>
      <c r="AO32" s="21"/>
      <c r="AP32" s="21"/>
      <c r="AQ32" s="21"/>
      <c r="AR32" s="21"/>
      <c r="AS32" s="21"/>
      <c r="AT32" s="20"/>
      <c r="AU32" s="20"/>
      <c r="AV32" s="20"/>
      <c r="AW32" s="20"/>
      <c r="AX32" s="20"/>
      <c r="AY32" s="21"/>
      <c r="AZ32" s="21"/>
      <c r="BA32" s="21"/>
      <c r="BB32" s="21"/>
      <c r="BC32" s="21"/>
      <c r="BD32" s="21"/>
      <c r="BE32" s="53"/>
      <c r="BF32" s="25"/>
      <c r="BG32" s="53"/>
      <c r="BH32" s="25"/>
      <c r="BI32" s="21"/>
      <c r="BJ32" s="20"/>
      <c r="BK32" s="21"/>
      <c r="BL32" s="21"/>
      <c r="BM32" s="21"/>
      <c r="BN32" s="21"/>
      <c r="BO32" s="21"/>
      <c r="BP32" s="21"/>
      <c r="BQ32" s="21"/>
      <c r="BR32" s="21"/>
      <c r="BS32" s="21"/>
      <c r="BT32" s="21"/>
      <c r="BU32" s="21"/>
      <c r="BV32" s="21"/>
      <c r="BW32" s="21"/>
      <c r="BX32" s="21"/>
      <c r="BY32" s="21"/>
      <c r="BZ32" s="21"/>
      <c r="CA32" s="21"/>
      <c r="CB32" s="21"/>
      <c r="CC32" s="21"/>
      <c r="CD32" s="21"/>
      <c r="CE32" s="43"/>
    </row>
    <row r="33" spans="1:83" s="24" customFormat="1" x14ac:dyDescent="0.2">
      <c r="A33" s="23"/>
      <c r="B33" s="23"/>
      <c r="C33" s="29"/>
      <c r="D33" s="23"/>
      <c r="E33" s="23"/>
      <c r="F33" s="23"/>
      <c r="G33" s="23"/>
      <c r="H33" s="23"/>
      <c r="I33" s="23"/>
      <c r="J33" s="23"/>
      <c r="K33" s="23"/>
      <c r="L33" s="23"/>
      <c r="M33" s="23"/>
      <c r="N33" s="20"/>
      <c r="O33" s="50"/>
      <c r="P33" s="51"/>
      <c r="Q33" s="20"/>
      <c r="R33" s="20"/>
      <c r="S33" s="20"/>
      <c r="T33" s="20"/>
      <c r="U33" s="20"/>
      <c r="V33" s="20"/>
      <c r="W33" s="20"/>
      <c r="X33" s="20"/>
      <c r="Y33" s="53"/>
      <c r="Z33" s="21"/>
      <c r="AA33" s="21"/>
      <c r="AB33" s="21"/>
      <c r="AC33" s="21"/>
      <c r="AD33" s="54"/>
      <c r="AE33" s="54"/>
      <c r="AF33" s="54"/>
      <c r="AG33" s="54"/>
      <c r="AH33" s="54"/>
      <c r="AI33" s="20"/>
      <c r="AJ33" s="20"/>
      <c r="AK33" s="20"/>
      <c r="AL33" s="20"/>
      <c r="AM33" s="20"/>
      <c r="AN33" s="21"/>
      <c r="AO33" s="21"/>
      <c r="AP33" s="21"/>
      <c r="AQ33" s="21"/>
      <c r="AR33" s="21"/>
      <c r="AS33" s="21"/>
      <c r="AT33" s="20"/>
      <c r="AU33" s="20"/>
      <c r="AV33" s="20"/>
      <c r="AW33" s="20"/>
      <c r="AX33" s="20"/>
      <c r="AY33" s="21"/>
      <c r="AZ33" s="21"/>
      <c r="BA33" s="21"/>
      <c r="BB33" s="21"/>
      <c r="BC33" s="21"/>
      <c r="BD33" s="21"/>
      <c r="BE33" s="53"/>
      <c r="BF33" s="25"/>
      <c r="BG33" s="53"/>
      <c r="BH33" s="25"/>
      <c r="BI33" s="21"/>
      <c r="BJ33" s="20"/>
      <c r="BK33" s="21"/>
      <c r="BL33" s="21"/>
      <c r="BM33" s="21"/>
      <c r="BN33" s="21"/>
      <c r="BO33" s="21"/>
      <c r="BP33" s="21"/>
      <c r="BQ33" s="21"/>
      <c r="BR33" s="21"/>
      <c r="BS33" s="21"/>
      <c r="BT33" s="21"/>
      <c r="BU33" s="21"/>
      <c r="BV33" s="21"/>
      <c r="BW33" s="21"/>
      <c r="BX33" s="21"/>
      <c r="BY33" s="21"/>
      <c r="BZ33" s="21"/>
      <c r="CA33" s="21"/>
      <c r="CB33" s="21"/>
      <c r="CC33" s="21"/>
      <c r="CD33" s="21"/>
      <c r="CE33" s="43"/>
    </row>
    <row r="34" spans="1:83" s="24" customFormat="1" x14ac:dyDescent="0.2">
      <c r="A34" s="23"/>
      <c r="B34" s="23"/>
      <c r="C34" s="29"/>
      <c r="D34" s="23"/>
      <c r="E34" s="23"/>
      <c r="F34" s="23"/>
      <c r="G34" s="23"/>
      <c r="H34" s="23"/>
      <c r="I34" s="23"/>
      <c r="J34" s="23"/>
      <c r="K34" s="23"/>
      <c r="L34" s="23"/>
      <c r="M34" s="23"/>
      <c r="N34" s="20"/>
      <c r="O34" s="50"/>
      <c r="P34" s="51"/>
      <c r="Q34" s="20"/>
      <c r="R34" s="20"/>
      <c r="S34" s="20"/>
      <c r="T34" s="20"/>
      <c r="U34" s="20"/>
      <c r="V34" s="20"/>
      <c r="W34" s="20"/>
      <c r="X34" s="20"/>
      <c r="Y34" s="53"/>
      <c r="Z34" s="21"/>
      <c r="AA34" s="21"/>
      <c r="AB34" s="21"/>
      <c r="AC34" s="21"/>
      <c r="AD34" s="54"/>
      <c r="AE34" s="54"/>
      <c r="AF34" s="54"/>
      <c r="AG34" s="54"/>
      <c r="AH34" s="54"/>
      <c r="AI34" s="20"/>
      <c r="AJ34" s="20"/>
      <c r="AK34" s="20"/>
      <c r="AL34" s="20"/>
      <c r="AM34" s="20"/>
      <c r="AN34" s="21"/>
      <c r="AO34" s="21"/>
      <c r="AP34" s="21"/>
      <c r="AQ34" s="21"/>
      <c r="AR34" s="21"/>
      <c r="AS34" s="21"/>
      <c r="AT34" s="20"/>
      <c r="AU34" s="20"/>
      <c r="AV34" s="20"/>
      <c r="AW34" s="20"/>
      <c r="AX34" s="20"/>
      <c r="AY34" s="21"/>
      <c r="AZ34" s="21"/>
      <c r="BA34" s="21"/>
      <c r="BB34" s="21"/>
      <c r="BC34" s="21"/>
      <c r="BD34" s="21"/>
      <c r="BE34" s="53"/>
      <c r="BF34" s="25"/>
      <c r="BG34" s="53"/>
      <c r="BH34" s="25"/>
      <c r="BI34" s="21"/>
      <c r="BJ34" s="20"/>
      <c r="BK34" s="21"/>
      <c r="BL34" s="21"/>
      <c r="BM34" s="21"/>
      <c r="BN34" s="21"/>
      <c r="BO34" s="21"/>
      <c r="BP34" s="21"/>
      <c r="BQ34" s="21"/>
      <c r="BR34" s="21"/>
      <c r="BS34" s="21"/>
      <c r="BT34" s="21"/>
      <c r="BU34" s="21"/>
      <c r="BV34" s="21"/>
      <c r="BW34" s="21"/>
      <c r="BX34" s="21"/>
      <c r="BY34" s="21"/>
      <c r="BZ34" s="21"/>
      <c r="CA34" s="21"/>
      <c r="CB34" s="21"/>
      <c r="CC34" s="21"/>
      <c r="CD34" s="21"/>
      <c r="CE34" s="43"/>
    </row>
    <row r="35" spans="1:83" s="24" customFormat="1" x14ac:dyDescent="0.2">
      <c r="A35" s="23"/>
      <c r="B35" s="23"/>
      <c r="C35" s="29"/>
      <c r="D35" s="23"/>
      <c r="E35" s="23"/>
      <c r="F35" s="23"/>
      <c r="G35" s="23"/>
      <c r="H35" s="23"/>
      <c r="I35" s="23"/>
      <c r="J35" s="23"/>
      <c r="K35" s="23"/>
      <c r="L35" s="23"/>
      <c r="M35" s="23"/>
      <c r="N35" s="20"/>
      <c r="O35" s="50"/>
      <c r="P35" s="51"/>
      <c r="Q35" s="20"/>
      <c r="R35" s="20"/>
      <c r="S35" s="20"/>
      <c r="T35" s="20"/>
      <c r="U35" s="20"/>
      <c r="V35" s="20"/>
      <c r="W35" s="20"/>
      <c r="X35" s="20"/>
      <c r="Y35" s="53"/>
      <c r="Z35" s="21"/>
      <c r="AA35" s="21"/>
      <c r="AB35" s="21"/>
      <c r="AC35" s="21"/>
      <c r="AD35" s="54"/>
      <c r="AE35" s="54"/>
      <c r="AF35" s="54"/>
      <c r="AG35" s="54"/>
      <c r="AH35" s="54"/>
      <c r="AI35" s="20"/>
      <c r="AJ35" s="20"/>
      <c r="AK35" s="20"/>
      <c r="AL35" s="20"/>
      <c r="AM35" s="20"/>
      <c r="AN35" s="21"/>
      <c r="AO35" s="21"/>
      <c r="AP35" s="21"/>
      <c r="AQ35" s="21"/>
      <c r="AR35" s="21"/>
      <c r="AS35" s="21"/>
      <c r="AT35" s="20"/>
      <c r="AU35" s="20"/>
      <c r="AV35" s="20"/>
      <c r="AW35" s="20"/>
      <c r="AX35" s="20"/>
      <c r="AY35" s="21"/>
      <c r="AZ35" s="21"/>
      <c r="BA35" s="21"/>
      <c r="BB35" s="21"/>
      <c r="BC35" s="21"/>
      <c r="BD35" s="21"/>
      <c r="BE35" s="53"/>
      <c r="BF35" s="25"/>
      <c r="BG35" s="53"/>
      <c r="BH35" s="25"/>
      <c r="BI35" s="21"/>
      <c r="BJ35" s="20"/>
      <c r="BK35" s="21"/>
      <c r="BL35" s="21"/>
      <c r="BM35" s="21"/>
      <c r="BN35" s="21"/>
      <c r="BO35" s="21"/>
      <c r="BP35" s="21"/>
      <c r="BQ35" s="21"/>
      <c r="BR35" s="21"/>
      <c r="BS35" s="21"/>
      <c r="BT35" s="21"/>
      <c r="BU35" s="21"/>
      <c r="BV35" s="21"/>
      <c r="BW35" s="21"/>
      <c r="BX35" s="21"/>
      <c r="BY35" s="21"/>
      <c r="BZ35" s="21"/>
      <c r="CA35" s="21"/>
      <c r="CB35" s="21"/>
      <c r="CC35" s="21"/>
      <c r="CD35" s="21"/>
      <c r="CE35" s="43"/>
    </row>
    <row r="36" spans="1:83" s="24" customFormat="1" x14ac:dyDescent="0.2">
      <c r="A36" s="23"/>
      <c r="B36" s="23"/>
      <c r="C36" s="29"/>
      <c r="D36" s="23"/>
      <c r="E36" s="23"/>
      <c r="F36" s="23"/>
      <c r="G36" s="23"/>
      <c r="H36" s="23"/>
      <c r="I36" s="23"/>
      <c r="J36" s="23"/>
      <c r="K36" s="23"/>
      <c r="L36" s="23"/>
      <c r="M36" s="23"/>
      <c r="N36" s="20"/>
      <c r="O36" s="50"/>
      <c r="P36" s="51"/>
      <c r="Q36" s="20"/>
      <c r="R36" s="20"/>
      <c r="S36" s="20"/>
      <c r="T36" s="20"/>
      <c r="U36" s="20"/>
      <c r="V36" s="20"/>
      <c r="W36" s="20"/>
      <c r="X36" s="20"/>
      <c r="Y36" s="53"/>
      <c r="Z36" s="21"/>
      <c r="AA36" s="21"/>
      <c r="AB36" s="21"/>
      <c r="AC36" s="21"/>
      <c r="AD36" s="54"/>
      <c r="AE36" s="54"/>
      <c r="AF36" s="54"/>
      <c r="AG36" s="54"/>
      <c r="AH36" s="54"/>
      <c r="AI36" s="20"/>
      <c r="AJ36" s="20"/>
      <c r="AK36" s="20"/>
      <c r="AL36" s="20"/>
      <c r="AM36" s="20"/>
      <c r="AN36" s="21"/>
      <c r="AO36" s="21"/>
      <c r="AP36" s="21"/>
      <c r="AQ36" s="21"/>
      <c r="AR36" s="21"/>
      <c r="AS36" s="21"/>
      <c r="AT36" s="20"/>
      <c r="AU36" s="20"/>
      <c r="AV36" s="20"/>
      <c r="AW36" s="20"/>
      <c r="AX36" s="20"/>
      <c r="AY36" s="21"/>
      <c r="AZ36" s="21"/>
      <c r="BA36" s="21"/>
      <c r="BB36" s="21"/>
      <c r="BC36" s="21"/>
      <c r="BD36" s="21"/>
      <c r="BE36" s="53"/>
      <c r="BF36" s="25"/>
      <c r="BG36" s="53"/>
      <c r="BH36" s="25"/>
      <c r="BI36" s="21"/>
      <c r="BJ36" s="20"/>
      <c r="BK36" s="21"/>
      <c r="BL36" s="21"/>
      <c r="BM36" s="21"/>
      <c r="BN36" s="21"/>
      <c r="BO36" s="21"/>
      <c r="BP36" s="21"/>
      <c r="BQ36" s="21"/>
      <c r="BR36" s="21"/>
      <c r="BS36" s="21"/>
      <c r="BT36" s="21"/>
      <c r="BU36" s="21"/>
      <c r="BV36" s="21"/>
      <c r="BW36" s="21"/>
      <c r="BX36" s="21"/>
      <c r="BY36" s="21"/>
      <c r="BZ36" s="21"/>
      <c r="CA36" s="21"/>
      <c r="CB36" s="21"/>
      <c r="CC36" s="21"/>
      <c r="CD36" s="21"/>
      <c r="CE36" s="43"/>
    </row>
    <row r="37" spans="1:83" s="24" customFormat="1" x14ac:dyDescent="0.2">
      <c r="A37" s="23"/>
      <c r="B37" s="23"/>
      <c r="C37" s="29"/>
      <c r="D37" s="23"/>
      <c r="E37" s="23"/>
      <c r="F37" s="23"/>
      <c r="G37" s="23"/>
      <c r="H37" s="23"/>
      <c r="I37" s="23"/>
      <c r="J37" s="23"/>
      <c r="K37" s="23"/>
      <c r="L37" s="23"/>
      <c r="M37" s="23"/>
      <c r="N37" s="20"/>
      <c r="O37" s="50"/>
      <c r="P37" s="51"/>
      <c r="Q37" s="20"/>
      <c r="R37" s="20"/>
      <c r="S37" s="20"/>
      <c r="T37" s="20"/>
      <c r="U37" s="20"/>
      <c r="V37" s="20"/>
      <c r="W37" s="20"/>
      <c r="X37" s="20"/>
      <c r="Y37" s="53"/>
      <c r="Z37" s="21"/>
      <c r="AA37" s="21"/>
      <c r="AB37" s="21"/>
      <c r="AC37" s="21"/>
      <c r="AD37" s="54"/>
      <c r="AE37" s="54"/>
      <c r="AF37" s="54"/>
      <c r="AG37" s="54"/>
      <c r="AH37" s="54"/>
      <c r="AI37" s="20"/>
      <c r="AJ37" s="20"/>
      <c r="AK37" s="20"/>
      <c r="AL37" s="20"/>
      <c r="AM37" s="20"/>
      <c r="AN37" s="21"/>
      <c r="AO37" s="21"/>
      <c r="AP37" s="21"/>
      <c r="AQ37" s="21"/>
      <c r="AR37" s="21"/>
      <c r="AS37" s="21"/>
      <c r="AT37" s="20"/>
      <c r="AU37" s="20"/>
      <c r="AV37" s="20"/>
      <c r="AW37" s="20"/>
      <c r="AX37" s="20"/>
      <c r="AY37" s="21"/>
      <c r="AZ37" s="21"/>
      <c r="BA37" s="21"/>
      <c r="BB37" s="21"/>
      <c r="BC37" s="21"/>
      <c r="BD37" s="21"/>
      <c r="BE37" s="53"/>
      <c r="BF37" s="25"/>
      <c r="BG37" s="53"/>
      <c r="BH37" s="25"/>
      <c r="BI37" s="21"/>
      <c r="BJ37" s="20"/>
      <c r="BK37" s="21"/>
      <c r="BL37" s="21"/>
      <c r="BM37" s="21"/>
      <c r="BN37" s="21"/>
      <c r="BO37" s="21"/>
      <c r="BP37" s="21"/>
      <c r="BQ37" s="21"/>
      <c r="BR37" s="21"/>
      <c r="BS37" s="21"/>
      <c r="BT37" s="21"/>
      <c r="BU37" s="21"/>
      <c r="BV37" s="21"/>
      <c r="BW37" s="21"/>
      <c r="BX37" s="21"/>
      <c r="BY37" s="21"/>
      <c r="BZ37" s="21"/>
      <c r="CA37" s="21"/>
      <c r="CB37" s="21"/>
      <c r="CC37" s="21"/>
      <c r="CD37" s="21"/>
      <c r="CE37" s="43"/>
    </row>
    <row r="38" spans="1:83" s="24" customFormat="1" x14ac:dyDescent="0.2">
      <c r="A38" s="23"/>
      <c r="B38" s="23"/>
      <c r="C38" s="19"/>
      <c r="D38" s="23"/>
      <c r="E38" s="23"/>
      <c r="F38" s="23"/>
      <c r="G38" s="23"/>
      <c r="H38" s="23"/>
      <c r="I38" s="23"/>
      <c r="J38" s="23"/>
      <c r="K38" s="23"/>
      <c r="L38" s="23"/>
      <c r="M38" s="23"/>
      <c r="N38" s="20"/>
      <c r="O38" s="50"/>
      <c r="P38" s="51"/>
      <c r="Q38" s="20"/>
      <c r="R38" s="20"/>
      <c r="S38" s="20"/>
      <c r="T38" s="20"/>
      <c r="U38" s="20"/>
      <c r="V38" s="20"/>
      <c r="W38" s="20"/>
      <c r="X38" s="20"/>
      <c r="Y38" s="53"/>
      <c r="Z38" s="21"/>
      <c r="AA38" s="21"/>
      <c r="AB38" s="21"/>
      <c r="AC38" s="21"/>
      <c r="AD38" s="54"/>
      <c r="AE38" s="54"/>
      <c r="AF38" s="54"/>
      <c r="AG38" s="54"/>
      <c r="AH38" s="54"/>
      <c r="AI38" s="20"/>
      <c r="AJ38" s="20"/>
      <c r="AK38" s="20"/>
      <c r="AL38" s="20"/>
      <c r="AM38" s="20"/>
      <c r="AN38" s="21"/>
      <c r="AO38" s="21"/>
      <c r="AP38" s="21"/>
      <c r="AQ38" s="21"/>
      <c r="AR38" s="21"/>
      <c r="AS38" s="21"/>
      <c r="AT38" s="20"/>
      <c r="AU38" s="20"/>
      <c r="AV38" s="20"/>
      <c r="AW38" s="20"/>
      <c r="AX38" s="20"/>
      <c r="AY38" s="21"/>
      <c r="AZ38" s="21"/>
      <c r="BA38" s="21"/>
      <c r="BB38" s="21"/>
      <c r="BC38" s="21"/>
      <c r="BD38" s="21"/>
      <c r="BE38" s="53"/>
      <c r="BF38" s="25"/>
      <c r="BG38" s="53"/>
      <c r="BH38" s="25"/>
      <c r="BI38" s="21"/>
      <c r="BJ38" s="20"/>
      <c r="BK38" s="21"/>
      <c r="BL38" s="21"/>
      <c r="BM38" s="21"/>
      <c r="BN38" s="21"/>
      <c r="BO38" s="21"/>
      <c r="BP38" s="21"/>
      <c r="BQ38" s="21"/>
      <c r="BR38" s="21"/>
      <c r="BS38" s="21"/>
      <c r="BT38" s="21"/>
      <c r="BU38" s="21"/>
      <c r="BV38" s="21"/>
      <c r="BW38" s="21"/>
      <c r="BX38" s="21"/>
      <c r="BY38" s="21"/>
      <c r="BZ38" s="21"/>
      <c r="CA38" s="21"/>
      <c r="CB38" s="21"/>
      <c r="CC38" s="21"/>
      <c r="CD38" s="21"/>
      <c r="CE38" s="43"/>
    </row>
    <row r="39" spans="1:83" s="24" customFormat="1" x14ac:dyDescent="0.2">
      <c r="A39" s="23"/>
      <c r="B39" s="23"/>
      <c r="C39" s="19"/>
      <c r="D39" s="23"/>
      <c r="E39" s="23"/>
      <c r="F39" s="23"/>
      <c r="G39" s="23"/>
      <c r="H39" s="23"/>
      <c r="I39" s="23"/>
      <c r="J39" s="23"/>
      <c r="K39" s="23"/>
      <c r="L39" s="23"/>
      <c r="M39" s="23"/>
      <c r="N39" s="20"/>
      <c r="O39" s="50"/>
      <c r="P39" s="51"/>
      <c r="Q39" s="20"/>
      <c r="R39" s="20"/>
      <c r="S39" s="20"/>
      <c r="T39" s="20"/>
      <c r="U39" s="20"/>
      <c r="V39" s="20"/>
      <c r="W39" s="20"/>
      <c r="X39" s="20"/>
      <c r="Y39" s="53"/>
      <c r="Z39" s="21"/>
      <c r="AA39" s="21"/>
      <c r="AB39" s="21"/>
      <c r="AC39" s="21"/>
      <c r="AD39" s="54"/>
      <c r="AE39" s="54"/>
      <c r="AF39" s="54"/>
      <c r="AG39" s="54"/>
      <c r="AH39" s="54"/>
      <c r="AI39" s="20"/>
      <c r="AJ39" s="20"/>
      <c r="AK39" s="20"/>
      <c r="AL39" s="20"/>
      <c r="AM39" s="20"/>
      <c r="AN39" s="21"/>
      <c r="AO39" s="21"/>
      <c r="AP39" s="21"/>
      <c r="AQ39" s="21"/>
      <c r="AR39" s="21"/>
      <c r="AS39" s="21"/>
      <c r="AT39" s="20"/>
      <c r="AU39" s="20"/>
      <c r="AV39" s="20"/>
      <c r="AW39" s="20"/>
      <c r="AX39" s="20"/>
      <c r="AY39" s="21"/>
      <c r="AZ39" s="21"/>
      <c r="BA39" s="21"/>
      <c r="BB39" s="21"/>
      <c r="BC39" s="21"/>
      <c r="BD39" s="21"/>
      <c r="BE39" s="53"/>
      <c r="BF39" s="25"/>
      <c r="BG39" s="53"/>
      <c r="BH39" s="25"/>
      <c r="BI39" s="21"/>
      <c r="BJ39" s="20"/>
      <c r="BK39" s="21"/>
      <c r="BL39" s="21"/>
      <c r="BM39" s="21"/>
      <c r="BN39" s="21"/>
      <c r="BO39" s="21"/>
      <c r="BP39" s="21"/>
      <c r="BQ39" s="21"/>
      <c r="BR39" s="21"/>
      <c r="BS39" s="21"/>
      <c r="BT39" s="21"/>
      <c r="BU39" s="21"/>
      <c r="BV39" s="21"/>
      <c r="BW39" s="21"/>
      <c r="BX39" s="21"/>
      <c r="BY39" s="21"/>
      <c r="BZ39" s="21"/>
      <c r="CA39" s="21"/>
      <c r="CB39" s="21"/>
      <c r="CC39" s="21"/>
      <c r="CD39" s="21"/>
      <c r="CE39" s="43"/>
    </row>
    <row r="40" spans="1:83" s="24" customFormat="1" x14ac:dyDescent="0.2">
      <c r="A40" s="23"/>
      <c r="B40" s="23"/>
      <c r="C40" s="19"/>
      <c r="D40" s="23"/>
      <c r="E40" s="23"/>
      <c r="F40" s="23"/>
      <c r="G40" s="23"/>
      <c r="H40" s="23"/>
      <c r="I40" s="23"/>
      <c r="J40" s="23"/>
      <c r="K40" s="23"/>
      <c r="L40" s="23"/>
      <c r="M40" s="23"/>
      <c r="N40" s="20"/>
      <c r="O40" s="50"/>
      <c r="P40" s="51"/>
      <c r="Q40" s="20"/>
      <c r="R40" s="20"/>
      <c r="S40" s="20"/>
      <c r="T40" s="20"/>
      <c r="U40" s="20"/>
      <c r="V40" s="20"/>
      <c r="W40" s="20"/>
      <c r="X40" s="20"/>
      <c r="Y40" s="53"/>
      <c r="Z40" s="21"/>
      <c r="AA40" s="21"/>
      <c r="AB40" s="21"/>
      <c r="AC40" s="21"/>
      <c r="AD40" s="54"/>
      <c r="AE40" s="54"/>
      <c r="AF40" s="54"/>
      <c r="AG40" s="54"/>
      <c r="AH40" s="54"/>
      <c r="AI40" s="20"/>
      <c r="AJ40" s="20"/>
      <c r="AK40" s="20"/>
      <c r="AL40" s="20"/>
      <c r="AM40" s="20"/>
      <c r="AN40" s="21"/>
      <c r="AO40" s="21"/>
      <c r="AP40" s="21"/>
      <c r="AQ40" s="21"/>
      <c r="AR40" s="21"/>
      <c r="AS40" s="21"/>
      <c r="AT40" s="20"/>
      <c r="AU40" s="20"/>
      <c r="AV40" s="20"/>
      <c r="AW40" s="20"/>
      <c r="AX40" s="20"/>
      <c r="AY40" s="21"/>
      <c r="AZ40" s="21"/>
      <c r="BA40" s="21"/>
      <c r="BB40" s="21"/>
      <c r="BC40" s="21"/>
      <c r="BD40" s="21"/>
      <c r="BE40" s="53"/>
      <c r="BF40" s="25"/>
      <c r="BG40" s="53"/>
      <c r="BH40" s="25"/>
      <c r="BI40" s="21"/>
      <c r="BJ40" s="20"/>
      <c r="BK40" s="21"/>
      <c r="BL40" s="21"/>
      <c r="BM40" s="21"/>
      <c r="BN40" s="21"/>
      <c r="BO40" s="21"/>
      <c r="BP40" s="21"/>
      <c r="BQ40" s="21"/>
      <c r="BR40" s="21"/>
      <c r="BS40" s="21"/>
      <c r="BT40" s="21"/>
      <c r="BU40" s="21"/>
      <c r="BV40" s="21"/>
      <c r="BW40" s="21"/>
      <c r="BX40" s="21"/>
      <c r="BY40" s="21"/>
      <c r="BZ40" s="21"/>
      <c r="CA40" s="21"/>
      <c r="CB40" s="21"/>
      <c r="CC40" s="21"/>
      <c r="CD40" s="21"/>
      <c r="CE40" s="43"/>
    </row>
    <row r="41" spans="1:83" s="24" customFormat="1" x14ac:dyDescent="0.2">
      <c r="A41" s="23"/>
      <c r="B41" s="23"/>
      <c r="C41" s="19"/>
      <c r="D41" s="23"/>
      <c r="E41" s="23"/>
      <c r="F41" s="23"/>
      <c r="G41" s="23"/>
      <c r="H41" s="23"/>
      <c r="I41" s="23"/>
      <c r="J41" s="23"/>
      <c r="K41" s="23"/>
      <c r="L41" s="23"/>
      <c r="M41" s="23"/>
      <c r="N41" s="20"/>
      <c r="O41" s="50"/>
      <c r="P41" s="51"/>
      <c r="Q41" s="20"/>
      <c r="R41" s="20"/>
      <c r="S41" s="20"/>
      <c r="T41" s="20"/>
      <c r="U41" s="20"/>
      <c r="V41" s="20"/>
      <c r="W41" s="20"/>
      <c r="X41" s="20"/>
      <c r="Y41" s="53"/>
      <c r="Z41" s="21"/>
      <c r="AA41" s="21"/>
      <c r="AB41" s="21"/>
      <c r="AC41" s="21"/>
      <c r="AD41" s="54"/>
      <c r="AE41" s="54"/>
      <c r="AF41" s="54"/>
      <c r="AG41" s="54"/>
      <c r="AH41" s="54"/>
      <c r="AI41" s="20"/>
      <c r="AJ41" s="20"/>
      <c r="AK41" s="20"/>
      <c r="AL41" s="20"/>
      <c r="AM41" s="20"/>
      <c r="AN41" s="21"/>
      <c r="AO41" s="21"/>
      <c r="AP41" s="21"/>
      <c r="AQ41" s="21"/>
      <c r="AR41" s="21"/>
      <c r="AS41" s="21"/>
      <c r="AT41" s="20"/>
      <c r="AU41" s="20"/>
      <c r="AV41" s="20"/>
      <c r="AW41" s="20"/>
      <c r="AX41" s="20"/>
      <c r="AY41" s="21"/>
      <c r="AZ41" s="21"/>
      <c r="BA41" s="21"/>
      <c r="BB41" s="21"/>
      <c r="BC41" s="21"/>
      <c r="BD41" s="21"/>
      <c r="BE41" s="53"/>
      <c r="BF41" s="25"/>
      <c r="BG41" s="53"/>
      <c r="BH41" s="25"/>
      <c r="BI41" s="21"/>
      <c r="BJ41" s="20"/>
      <c r="BK41" s="21"/>
      <c r="BL41" s="21"/>
      <c r="BM41" s="21"/>
      <c r="BN41" s="21"/>
      <c r="BO41" s="21"/>
      <c r="BP41" s="21"/>
      <c r="BQ41" s="21"/>
      <c r="BR41" s="21"/>
      <c r="BS41" s="21"/>
      <c r="BT41" s="21"/>
      <c r="BU41" s="21"/>
      <c r="BV41" s="21"/>
      <c r="BW41" s="21"/>
      <c r="BX41" s="21"/>
      <c r="BY41" s="21"/>
      <c r="BZ41" s="21"/>
      <c r="CA41" s="21"/>
      <c r="CB41" s="21"/>
      <c r="CC41" s="21"/>
      <c r="CD41" s="21"/>
      <c r="CE41" s="43"/>
    </row>
    <row r="42" spans="1:83" s="24" customFormat="1" x14ac:dyDescent="0.2">
      <c r="A42" s="23"/>
      <c r="B42" s="23"/>
      <c r="C42" s="19"/>
      <c r="D42" s="23"/>
      <c r="E42" s="23"/>
      <c r="F42" s="23"/>
      <c r="G42" s="23"/>
      <c r="H42" s="23"/>
      <c r="I42" s="23"/>
      <c r="J42" s="23"/>
      <c r="K42" s="23"/>
      <c r="L42" s="23"/>
      <c r="M42" s="23"/>
      <c r="N42" s="20"/>
      <c r="O42" s="50"/>
      <c r="P42" s="51"/>
      <c r="Q42" s="20"/>
      <c r="R42" s="20"/>
      <c r="S42" s="20"/>
      <c r="T42" s="20"/>
      <c r="U42" s="20"/>
      <c r="V42" s="20"/>
      <c r="W42" s="20"/>
      <c r="X42" s="20"/>
      <c r="Y42" s="53"/>
      <c r="Z42" s="21"/>
      <c r="AA42" s="21"/>
      <c r="AB42" s="21"/>
      <c r="AC42" s="21"/>
      <c r="AD42" s="54"/>
      <c r="AE42" s="54"/>
      <c r="AF42" s="54"/>
      <c r="AG42" s="54"/>
      <c r="AH42" s="54"/>
      <c r="AI42" s="20"/>
      <c r="AJ42" s="20"/>
      <c r="AK42" s="20"/>
      <c r="AL42" s="20"/>
      <c r="AM42" s="20"/>
      <c r="AN42" s="21"/>
      <c r="AO42" s="21"/>
      <c r="AP42" s="21"/>
      <c r="AQ42" s="21"/>
      <c r="AR42" s="21"/>
      <c r="AS42" s="21"/>
      <c r="AT42" s="20"/>
      <c r="AU42" s="20"/>
      <c r="AV42" s="20"/>
      <c r="AW42" s="20"/>
      <c r="AX42" s="20"/>
      <c r="AY42" s="21"/>
      <c r="AZ42" s="21"/>
      <c r="BA42" s="21"/>
      <c r="BB42" s="21"/>
      <c r="BC42" s="21"/>
      <c r="BD42" s="21"/>
      <c r="BE42" s="53"/>
      <c r="BF42" s="25"/>
      <c r="BG42" s="53"/>
      <c r="BH42" s="25"/>
      <c r="BI42" s="21"/>
      <c r="BJ42" s="20"/>
      <c r="BK42" s="21"/>
      <c r="BL42" s="21"/>
      <c r="BM42" s="21"/>
      <c r="BN42" s="21"/>
      <c r="BO42" s="21"/>
      <c r="BP42" s="21"/>
      <c r="BQ42" s="21"/>
      <c r="BR42" s="21"/>
      <c r="BS42" s="21"/>
      <c r="BT42" s="21"/>
      <c r="BU42" s="21"/>
      <c r="BV42" s="21"/>
      <c r="BW42" s="21"/>
      <c r="BX42" s="21"/>
      <c r="BY42" s="21"/>
      <c r="BZ42" s="21"/>
      <c r="CA42" s="21"/>
      <c r="CB42" s="21"/>
      <c r="CC42" s="21"/>
      <c r="CD42" s="21"/>
      <c r="CE42" s="43"/>
    </row>
    <row r="43" spans="1:83" s="24" customFormat="1" x14ac:dyDescent="0.2">
      <c r="A43" s="23"/>
      <c r="B43" s="23"/>
      <c r="C43" s="19"/>
      <c r="D43" s="23"/>
      <c r="E43" s="23"/>
      <c r="F43" s="23"/>
      <c r="G43" s="23"/>
      <c r="H43" s="23"/>
      <c r="I43" s="23"/>
      <c r="J43" s="23"/>
      <c r="K43" s="23"/>
      <c r="L43" s="23"/>
      <c r="M43" s="23"/>
      <c r="N43" s="20"/>
      <c r="O43" s="50"/>
      <c r="P43" s="51"/>
      <c r="Q43" s="20"/>
      <c r="R43" s="20"/>
      <c r="S43" s="20"/>
      <c r="T43" s="20"/>
      <c r="U43" s="20"/>
      <c r="V43" s="20"/>
      <c r="W43" s="20"/>
      <c r="X43" s="20"/>
      <c r="Y43" s="53"/>
      <c r="Z43" s="21"/>
      <c r="AA43" s="21"/>
      <c r="AB43" s="21"/>
      <c r="AC43" s="21"/>
      <c r="AD43" s="54"/>
      <c r="AE43" s="54"/>
      <c r="AF43" s="54"/>
      <c r="AG43" s="54"/>
      <c r="AH43" s="54"/>
      <c r="AI43" s="20"/>
      <c r="AJ43" s="20"/>
      <c r="AK43" s="20"/>
      <c r="AL43" s="20"/>
      <c r="AM43" s="20"/>
      <c r="AN43" s="21"/>
      <c r="AO43" s="21"/>
      <c r="AP43" s="21"/>
      <c r="AQ43" s="21"/>
      <c r="AR43" s="21"/>
      <c r="AS43" s="21"/>
      <c r="AT43" s="20"/>
      <c r="AU43" s="20"/>
      <c r="AV43" s="20"/>
      <c r="AW43" s="20"/>
      <c r="AX43" s="20"/>
      <c r="AY43" s="21"/>
      <c r="AZ43" s="21"/>
      <c r="BA43" s="21"/>
      <c r="BB43" s="21"/>
      <c r="BC43" s="21"/>
      <c r="BD43" s="21"/>
      <c r="BE43" s="53"/>
      <c r="BF43" s="25"/>
      <c r="BG43" s="53"/>
      <c r="BH43" s="25"/>
      <c r="BI43" s="21"/>
      <c r="BJ43" s="20"/>
      <c r="BK43" s="21"/>
      <c r="BL43" s="21"/>
      <c r="BM43" s="21"/>
      <c r="BN43" s="21"/>
      <c r="BO43" s="21"/>
      <c r="BP43" s="21"/>
      <c r="BQ43" s="21"/>
      <c r="BR43" s="21"/>
      <c r="BS43" s="21"/>
      <c r="BT43" s="21"/>
      <c r="BU43" s="21"/>
      <c r="BV43" s="21"/>
      <c r="BW43" s="21"/>
      <c r="BX43" s="21"/>
      <c r="BY43" s="21"/>
      <c r="BZ43" s="21"/>
      <c r="CA43" s="21"/>
      <c r="CB43" s="21"/>
      <c r="CC43" s="21"/>
      <c r="CD43" s="21"/>
      <c r="CE43" s="43"/>
    </row>
    <row r="44" spans="1:83" s="24" customFormat="1" x14ac:dyDescent="0.2">
      <c r="A44" s="23"/>
      <c r="B44" s="23"/>
      <c r="C44" s="19"/>
      <c r="D44" s="23"/>
      <c r="E44" s="23"/>
      <c r="F44" s="23"/>
      <c r="G44" s="23"/>
      <c r="H44" s="23"/>
      <c r="I44" s="23"/>
      <c r="J44" s="23"/>
      <c r="K44" s="23"/>
      <c r="L44" s="23"/>
      <c r="M44" s="23"/>
      <c r="N44" s="20"/>
      <c r="O44" s="50"/>
      <c r="P44" s="51"/>
      <c r="Q44" s="20"/>
      <c r="R44" s="20"/>
      <c r="S44" s="20"/>
      <c r="T44" s="20"/>
      <c r="U44" s="20"/>
      <c r="V44" s="20"/>
      <c r="W44" s="20"/>
      <c r="X44" s="20"/>
      <c r="Y44" s="53"/>
      <c r="Z44" s="21"/>
      <c r="AA44" s="21"/>
      <c r="AB44" s="21"/>
      <c r="AC44" s="21"/>
      <c r="AD44" s="54"/>
      <c r="AE44" s="54"/>
      <c r="AF44" s="54"/>
      <c r="AG44" s="54"/>
      <c r="AH44" s="54"/>
      <c r="AI44" s="20"/>
      <c r="AJ44" s="20"/>
      <c r="AK44" s="20"/>
      <c r="AL44" s="20"/>
      <c r="AM44" s="20"/>
      <c r="AN44" s="21"/>
      <c r="AO44" s="21"/>
      <c r="AP44" s="21"/>
      <c r="AQ44" s="21"/>
      <c r="AR44" s="21"/>
      <c r="AS44" s="21"/>
      <c r="AT44" s="20"/>
      <c r="AU44" s="20"/>
      <c r="AV44" s="20"/>
      <c r="AW44" s="20"/>
      <c r="AX44" s="20"/>
      <c r="AY44" s="21"/>
      <c r="AZ44" s="21"/>
      <c r="BA44" s="21"/>
      <c r="BB44" s="21"/>
      <c r="BC44" s="21"/>
      <c r="BD44" s="21"/>
      <c r="BE44" s="53"/>
      <c r="BF44" s="25"/>
      <c r="BG44" s="53"/>
      <c r="BH44" s="25"/>
      <c r="BI44" s="21"/>
      <c r="BJ44" s="20"/>
      <c r="BK44" s="21"/>
      <c r="BL44" s="21"/>
      <c r="BM44" s="21"/>
      <c r="BN44" s="21"/>
      <c r="BO44" s="21"/>
      <c r="BP44" s="21"/>
      <c r="BQ44" s="21"/>
      <c r="BR44" s="21"/>
      <c r="BS44" s="21"/>
      <c r="BT44" s="21"/>
      <c r="BU44" s="21"/>
      <c r="BV44" s="21"/>
      <c r="BW44" s="21"/>
      <c r="BX44" s="21"/>
      <c r="BY44" s="21"/>
      <c r="BZ44" s="21"/>
      <c r="CA44" s="21"/>
      <c r="CB44" s="21"/>
      <c r="CC44" s="21"/>
      <c r="CD44" s="21"/>
      <c r="CE44" s="43"/>
    </row>
    <row r="45" spans="1:83" s="24" customFormat="1" x14ac:dyDescent="0.2">
      <c r="A45" s="23"/>
      <c r="B45" s="23"/>
      <c r="C45" s="19"/>
      <c r="D45" s="23"/>
      <c r="E45" s="23"/>
      <c r="F45" s="23"/>
      <c r="G45" s="23"/>
      <c r="H45" s="23"/>
      <c r="I45" s="23"/>
      <c r="J45" s="23"/>
      <c r="K45" s="23"/>
      <c r="L45" s="23"/>
      <c r="M45" s="23"/>
      <c r="N45" s="20"/>
      <c r="O45" s="50"/>
      <c r="P45" s="51"/>
      <c r="Q45" s="20"/>
      <c r="R45" s="20"/>
      <c r="S45" s="20"/>
      <c r="T45" s="20"/>
      <c r="U45" s="20"/>
      <c r="V45" s="20"/>
      <c r="W45" s="20"/>
      <c r="X45" s="20"/>
      <c r="Y45" s="53"/>
      <c r="Z45" s="21"/>
      <c r="AA45" s="21"/>
      <c r="AB45" s="21"/>
      <c r="AC45" s="21"/>
      <c r="AD45" s="54"/>
      <c r="AE45" s="54"/>
      <c r="AF45" s="54"/>
      <c r="AG45" s="54"/>
      <c r="AH45" s="54"/>
      <c r="AI45" s="20"/>
      <c r="AJ45" s="20"/>
      <c r="AK45" s="20"/>
      <c r="AL45" s="20"/>
      <c r="AM45" s="20"/>
      <c r="AN45" s="21"/>
      <c r="AO45" s="21"/>
      <c r="AP45" s="21"/>
      <c r="AQ45" s="21"/>
      <c r="AR45" s="21"/>
      <c r="AS45" s="21"/>
      <c r="AT45" s="20"/>
      <c r="AU45" s="20"/>
      <c r="AV45" s="20"/>
      <c r="AW45" s="20"/>
      <c r="AX45" s="20"/>
      <c r="AY45" s="21"/>
      <c r="AZ45" s="21"/>
      <c r="BA45" s="21"/>
      <c r="BB45" s="21"/>
      <c r="BC45" s="21"/>
      <c r="BD45" s="21"/>
      <c r="BE45" s="53"/>
      <c r="BF45" s="25"/>
      <c r="BG45" s="53"/>
      <c r="BH45" s="25"/>
      <c r="BI45" s="21"/>
      <c r="BJ45" s="20"/>
      <c r="BK45" s="21"/>
      <c r="BL45" s="21"/>
      <c r="BM45" s="21"/>
      <c r="BN45" s="21"/>
      <c r="BO45" s="21"/>
      <c r="BP45" s="21"/>
      <c r="BQ45" s="21"/>
      <c r="BR45" s="21"/>
      <c r="BS45" s="21"/>
      <c r="BT45" s="21"/>
      <c r="BU45" s="21"/>
      <c r="BV45" s="21"/>
      <c r="BW45" s="21"/>
      <c r="BX45" s="21"/>
      <c r="BY45" s="21"/>
      <c r="BZ45" s="21"/>
      <c r="CA45" s="21"/>
      <c r="CB45" s="21"/>
      <c r="CC45" s="21"/>
      <c r="CD45" s="21"/>
      <c r="CE45" s="43"/>
    </row>
    <row r="46" spans="1:83" s="24" customFormat="1" x14ac:dyDescent="0.2">
      <c r="A46" s="23"/>
      <c r="B46" s="23"/>
      <c r="C46" s="19"/>
      <c r="D46" s="23"/>
      <c r="E46" s="23"/>
      <c r="F46" s="23"/>
      <c r="G46" s="23"/>
      <c r="H46" s="23"/>
      <c r="I46" s="23"/>
      <c r="J46" s="23"/>
      <c r="K46" s="23"/>
      <c r="L46" s="23"/>
      <c r="M46" s="23"/>
      <c r="N46" s="20"/>
      <c r="O46" s="50"/>
      <c r="P46" s="51"/>
      <c r="Q46" s="20"/>
      <c r="R46" s="20"/>
      <c r="S46" s="20"/>
      <c r="T46" s="20"/>
      <c r="U46" s="20"/>
      <c r="V46" s="20"/>
      <c r="W46" s="20"/>
      <c r="X46" s="20"/>
      <c r="Y46" s="53"/>
      <c r="Z46" s="21"/>
      <c r="AA46" s="21"/>
      <c r="AB46" s="21"/>
      <c r="AC46" s="21"/>
      <c r="AD46" s="54"/>
      <c r="AE46" s="54"/>
      <c r="AF46" s="54"/>
      <c r="AG46" s="54"/>
      <c r="AH46" s="54"/>
      <c r="AI46" s="20"/>
      <c r="AJ46" s="20"/>
      <c r="AK46" s="20"/>
      <c r="AL46" s="20"/>
      <c r="AM46" s="20"/>
      <c r="AN46" s="21"/>
      <c r="AO46" s="21"/>
      <c r="AP46" s="21"/>
      <c r="AQ46" s="21"/>
      <c r="AR46" s="21"/>
      <c r="AS46" s="21"/>
      <c r="AT46" s="20"/>
      <c r="AU46" s="20"/>
      <c r="AV46" s="20"/>
      <c r="AW46" s="20"/>
      <c r="AX46" s="20"/>
      <c r="AY46" s="21"/>
      <c r="AZ46" s="21"/>
      <c r="BA46" s="21"/>
      <c r="BB46" s="21"/>
      <c r="BC46" s="21"/>
      <c r="BD46" s="21"/>
      <c r="BE46" s="53"/>
      <c r="BF46" s="25"/>
      <c r="BG46" s="53"/>
      <c r="BH46" s="25"/>
      <c r="BI46" s="21"/>
      <c r="BJ46" s="20"/>
      <c r="BK46" s="21"/>
      <c r="BL46" s="21"/>
      <c r="BM46" s="21"/>
      <c r="BN46" s="21"/>
      <c r="BO46" s="21"/>
      <c r="BP46" s="21"/>
      <c r="BQ46" s="21"/>
      <c r="BR46" s="21"/>
      <c r="BS46" s="21"/>
      <c r="BT46" s="21"/>
      <c r="BU46" s="21"/>
      <c r="BV46" s="21"/>
      <c r="BW46" s="21"/>
      <c r="BX46" s="21"/>
      <c r="BY46" s="21"/>
      <c r="BZ46" s="21"/>
      <c r="CA46" s="21"/>
      <c r="CB46" s="21"/>
      <c r="CC46" s="21"/>
      <c r="CD46" s="21"/>
      <c r="CE46" s="43"/>
    </row>
    <row r="47" spans="1:83" s="24" customFormat="1" x14ac:dyDescent="0.2">
      <c r="A47" s="23"/>
      <c r="B47" s="23"/>
      <c r="C47" s="19"/>
      <c r="D47" s="23"/>
      <c r="E47" s="23"/>
      <c r="F47" s="23"/>
      <c r="G47" s="23"/>
      <c r="H47" s="23"/>
      <c r="I47" s="23"/>
      <c r="J47" s="23"/>
      <c r="K47" s="23"/>
      <c r="L47" s="23"/>
      <c r="M47" s="23"/>
      <c r="N47" s="20"/>
      <c r="O47" s="50"/>
      <c r="P47" s="51"/>
      <c r="Q47" s="20"/>
      <c r="R47" s="20"/>
      <c r="S47" s="20"/>
      <c r="T47" s="20"/>
      <c r="U47" s="20"/>
      <c r="V47" s="20"/>
      <c r="W47" s="20"/>
      <c r="X47" s="20"/>
      <c r="Y47" s="53"/>
      <c r="Z47" s="21"/>
      <c r="AA47" s="21"/>
      <c r="AB47" s="21"/>
      <c r="AC47" s="21"/>
      <c r="AD47" s="54"/>
      <c r="AE47" s="54"/>
      <c r="AF47" s="54"/>
      <c r="AG47" s="54"/>
      <c r="AH47" s="54"/>
      <c r="AI47" s="20"/>
      <c r="AJ47" s="20"/>
      <c r="AK47" s="20"/>
      <c r="AL47" s="20"/>
      <c r="AM47" s="20"/>
      <c r="AN47" s="21"/>
      <c r="AO47" s="21"/>
      <c r="AP47" s="21"/>
      <c r="AQ47" s="21"/>
      <c r="AR47" s="21"/>
      <c r="AS47" s="21"/>
      <c r="AT47" s="20"/>
      <c r="AU47" s="20"/>
      <c r="AV47" s="20"/>
      <c r="AW47" s="20"/>
      <c r="AX47" s="20"/>
      <c r="AY47" s="21"/>
      <c r="AZ47" s="21"/>
      <c r="BA47" s="21"/>
      <c r="BB47" s="21"/>
      <c r="BC47" s="21"/>
      <c r="BD47" s="21"/>
      <c r="BE47" s="53"/>
      <c r="BF47" s="25"/>
      <c r="BG47" s="53"/>
      <c r="BH47" s="25"/>
      <c r="BI47" s="21"/>
      <c r="BJ47" s="20"/>
      <c r="BK47" s="21"/>
      <c r="BL47" s="21"/>
      <c r="BM47" s="21"/>
      <c r="BN47" s="21"/>
      <c r="BO47" s="21"/>
      <c r="BP47" s="21"/>
      <c r="BQ47" s="21"/>
      <c r="BR47" s="21"/>
      <c r="BS47" s="21"/>
      <c r="BT47" s="21"/>
      <c r="BU47" s="21"/>
      <c r="BV47" s="21"/>
      <c r="BW47" s="21"/>
      <c r="BX47" s="21"/>
      <c r="BY47" s="21"/>
      <c r="BZ47" s="21"/>
      <c r="CA47" s="21"/>
      <c r="CB47" s="21"/>
      <c r="CC47" s="21"/>
      <c r="CD47" s="21"/>
      <c r="CE47" s="43"/>
    </row>
    <row r="48" spans="1:83" s="24" customFormat="1" x14ac:dyDescent="0.2">
      <c r="A48" s="23"/>
      <c r="B48" s="23"/>
      <c r="C48" s="19"/>
      <c r="D48" s="23"/>
      <c r="E48" s="23"/>
      <c r="F48" s="23"/>
      <c r="G48" s="23"/>
      <c r="H48" s="23"/>
      <c r="I48" s="23"/>
      <c r="J48" s="23"/>
      <c r="K48" s="23"/>
      <c r="L48" s="23"/>
      <c r="M48" s="23"/>
      <c r="N48" s="20"/>
      <c r="O48" s="50"/>
      <c r="P48" s="51"/>
      <c r="Q48" s="20"/>
      <c r="R48" s="20"/>
      <c r="S48" s="20"/>
      <c r="T48" s="20"/>
      <c r="U48" s="20"/>
      <c r="V48" s="20"/>
      <c r="W48" s="20"/>
      <c r="X48" s="20"/>
      <c r="Y48" s="53"/>
      <c r="Z48" s="21"/>
      <c r="AA48" s="21"/>
      <c r="AB48" s="21"/>
      <c r="AC48" s="21"/>
      <c r="AD48" s="54"/>
      <c r="AE48" s="54"/>
      <c r="AF48" s="54"/>
      <c r="AG48" s="54"/>
      <c r="AH48" s="54"/>
      <c r="AI48" s="20"/>
      <c r="AJ48" s="20"/>
      <c r="AK48" s="20"/>
      <c r="AL48" s="20"/>
      <c r="AM48" s="20"/>
      <c r="AN48" s="21"/>
      <c r="AO48" s="21"/>
      <c r="AP48" s="21"/>
      <c r="AQ48" s="21"/>
      <c r="AR48" s="21"/>
      <c r="AS48" s="21"/>
      <c r="AT48" s="20"/>
      <c r="AU48" s="20"/>
      <c r="AV48" s="20"/>
      <c r="AW48" s="20"/>
      <c r="AX48" s="20"/>
      <c r="AY48" s="21"/>
      <c r="AZ48" s="21"/>
      <c r="BA48" s="21"/>
      <c r="BB48" s="21"/>
      <c r="BC48" s="21"/>
      <c r="BD48" s="21"/>
      <c r="BE48" s="53"/>
      <c r="BF48" s="25"/>
      <c r="BG48" s="53"/>
      <c r="BH48" s="25"/>
      <c r="BI48" s="21"/>
      <c r="BJ48" s="20"/>
      <c r="BK48" s="21"/>
      <c r="BL48" s="21"/>
      <c r="BM48" s="21"/>
      <c r="BN48" s="21"/>
      <c r="BO48" s="21"/>
      <c r="BP48" s="21"/>
      <c r="BQ48" s="21"/>
      <c r="BR48" s="21"/>
      <c r="BS48" s="21"/>
      <c r="BT48" s="21"/>
      <c r="BU48" s="21"/>
      <c r="BV48" s="21"/>
      <c r="BW48" s="21"/>
      <c r="BX48" s="21"/>
      <c r="BY48" s="21"/>
      <c r="BZ48" s="21"/>
      <c r="CA48" s="21"/>
      <c r="CB48" s="21"/>
      <c r="CC48" s="21"/>
      <c r="CD48" s="21"/>
      <c r="CE48" s="43"/>
    </row>
    <row r="49" spans="1:83" s="24" customFormat="1" x14ac:dyDescent="0.2">
      <c r="A49" s="23"/>
      <c r="B49" s="23"/>
      <c r="C49" s="19"/>
      <c r="D49" s="23"/>
      <c r="E49" s="23"/>
      <c r="F49" s="23"/>
      <c r="G49" s="23"/>
      <c r="H49" s="23"/>
      <c r="I49" s="23"/>
      <c r="J49" s="23"/>
      <c r="K49" s="23"/>
      <c r="L49" s="23"/>
      <c r="M49" s="23"/>
      <c r="N49" s="20"/>
      <c r="O49" s="50"/>
      <c r="P49" s="51"/>
      <c r="Q49" s="20"/>
      <c r="R49" s="20"/>
      <c r="S49" s="20"/>
      <c r="T49" s="20"/>
      <c r="U49" s="20"/>
      <c r="V49" s="20"/>
      <c r="W49" s="20"/>
      <c r="X49" s="20"/>
      <c r="Y49" s="53"/>
      <c r="Z49" s="21"/>
      <c r="AA49" s="21"/>
      <c r="AB49" s="21"/>
      <c r="AC49" s="21"/>
      <c r="AD49" s="54"/>
      <c r="AE49" s="54"/>
      <c r="AF49" s="54"/>
      <c r="AG49" s="54"/>
      <c r="AH49" s="54"/>
      <c r="AI49" s="20"/>
      <c r="AJ49" s="20"/>
      <c r="AK49" s="20"/>
      <c r="AL49" s="20"/>
      <c r="AM49" s="20"/>
      <c r="AN49" s="21"/>
      <c r="AO49" s="21"/>
      <c r="AP49" s="21"/>
      <c r="AQ49" s="21"/>
      <c r="AR49" s="21"/>
      <c r="AS49" s="21"/>
      <c r="AT49" s="20"/>
      <c r="AU49" s="20"/>
      <c r="AV49" s="20"/>
      <c r="AW49" s="20"/>
      <c r="AX49" s="20"/>
      <c r="AY49" s="21"/>
      <c r="AZ49" s="21"/>
      <c r="BA49" s="21"/>
      <c r="BB49" s="21"/>
      <c r="BC49" s="21"/>
      <c r="BD49" s="21"/>
      <c r="BE49" s="53"/>
      <c r="BF49" s="25"/>
      <c r="BG49" s="53"/>
      <c r="BH49" s="25"/>
      <c r="BI49" s="21"/>
      <c r="BJ49" s="20"/>
      <c r="BK49" s="21"/>
      <c r="BL49" s="21"/>
      <c r="BM49" s="21"/>
      <c r="BN49" s="21"/>
      <c r="BO49" s="21"/>
      <c r="BP49" s="21"/>
      <c r="BQ49" s="21"/>
      <c r="BR49" s="21"/>
      <c r="BS49" s="21"/>
      <c r="BT49" s="21"/>
      <c r="BU49" s="21"/>
      <c r="BV49" s="21"/>
      <c r="BW49" s="21"/>
      <c r="BX49" s="21"/>
      <c r="BY49" s="21"/>
      <c r="BZ49" s="21"/>
      <c r="CA49" s="21"/>
      <c r="CB49" s="21"/>
      <c r="CC49" s="21"/>
      <c r="CD49" s="21"/>
      <c r="CE49" s="43"/>
    </row>
    <row r="50" spans="1:83" s="24" customFormat="1" x14ac:dyDescent="0.2">
      <c r="A50" s="23"/>
      <c r="B50" s="23"/>
      <c r="C50" s="19"/>
      <c r="D50" s="23"/>
      <c r="E50" s="23"/>
      <c r="F50" s="23"/>
      <c r="G50" s="23"/>
      <c r="H50" s="23"/>
      <c r="I50" s="23"/>
      <c r="J50" s="23"/>
      <c r="K50" s="23"/>
      <c r="L50" s="23"/>
      <c r="M50" s="23"/>
      <c r="N50" s="20"/>
      <c r="O50" s="50"/>
      <c r="P50" s="51"/>
      <c r="Q50" s="20"/>
      <c r="R50" s="20"/>
      <c r="S50" s="20"/>
      <c r="T50" s="20"/>
      <c r="U50" s="20"/>
      <c r="V50" s="20"/>
      <c r="W50" s="20"/>
      <c r="X50" s="20"/>
      <c r="Y50" s="53"/>
      <c r="Z50" s="21"/>
      <c r="AA50" s="21"/>
      <c r="AB50" s="21"/>
      <c r="AC50" s="21"/>
      <c r="AD50" s="54"/>
      <c r="AE50" s="54"/>
      <c r="AF50" s="54"/>
      <c r="AG50" s="54"/>
      <c r="AH50" s="54"/>
      <c r="AI50" s="20"/>
      <c r="AJ50" s="20"/>
      <c r="AK50" s="20"/>
      <c r="AL50" s="20"/>
      <c r="AM50" s="20"/>
      <c r="AN50" s="21"/>
      <c r="AO50" s="21"/>
      <c r="AP50" s="21"/>
      <c r="AQ50" s="21"/>
      <c r="AR50" s="21"/>
      <c r="AS50" s="21"/>
      <c r="AT50" s="20"/>
      <c r="AU50" s="20"/>
      <c r="AV50" s="20"/>
      <c r="AW50" s="20"/>
      <c r="AX50" s="20"/>
      <c r="AY50" s="21"/>
      <c r="AZ50" s="21"/>
      <c r="BA50" s="21"/>
      <c r="BB50" s="21"/>
      <c r="BC50" s="21"/>
      <c r="BD50" s="21"/>
      <c r="BE50" s="53"/>
      <c r="BF50" s="25"/>
      <c r="BG50" s="53"/>
      <c r="BH50" s="25"/>
      <c r="BI50" s="21"/>
      <c r="BJ50" s="20"/>
      <c r="BK50" s="21"/>
      <c r="BL50" s="21"/>
      <c r="BM50" s="21"/>
      <c r="BN50" s="21"/>
      <c r="BO50" s="21"/>
      <c r="BP50" s="21"/>
      <c r="BQ50" s="21"/>
      <c r="BR50" s="21"/>
      <c r="BS50" s="21"/>
      <c r="BT50" s="21"/>
      <c r="BU50" s="21"/>
      <c r="BV50" s="21"/>
      <c r="BW50" s="21"/>
      <c r="BX50" s="21"/>
      <c r="BY50" s="21"/>
      <c r="BZ50" s="21"/>
      <c r="CA50" s="21"/>
      <c r="CB50" s="21"/>
      <c r="CC50" s="21"/>
      <c r="CD50" s="21"/>
      <c r="CE50" s="43"/>
    </row>
    <row r="51" spans="1:83" s="24" customFormat="1" x14ac:dyDescent="0.2">
      <c r="A51" s="23"/>
      <c r="B51" s="23"/>
      <c r="C51" s="19"/>
      <c r="D51" s="23"/>
      <c r="E51" s="23"/>
      <c r="F51" s="23"/>
      <c r="G51" s="23"/>
      <c r="H51" s="23"/>
      <c r="I51" s="23"/>
      <c r="J51" s="23"/>
      <c r="K51" s="23"/>
      <c r="L51" s="23"/>
      <c r="M51" s="23"/>
      <c r="N51" s="20"/>
      <c r="O51" s="50"/>
      <c r="P51" s="51"/>
      <c r="Q51" s="20"/>
      <c r="R51" s="20"/>
      <c r="S51" s="20"/>
      <c r="T51" s="20"/>
      <c r="U51" s="20"/>
      <c r="V51" s="20"/>
      <c r="W51" s="20"/>
      <c r="X51" s="20"/>
      <c r="Y51" s="53"/>
      <c r="Z51" s="21"/>
      <c r="AA51" s="21"/>
      <c r="AB51" s="21"/>
      <c r="AC51" s="21"/>
      <c r="AD51" s="54"/>
      <c r="AE51" s="54"/>
      <c r="AF51" s="54"/>
      <c r="AG51" s="54"/>
      <c r="AH51" s="54"/>
      <c r="AI51" s="20"/>
      <c r="AJ51" s="20"/>
      <c r="AK51" s="20"/>
      <c r="AL51" s="20"/>
      <c r="AM51" s="20"/>
      <c r="AN51" s="21"/>
      <c r="AO51" s="21"/>
      <c r="AP51" s="21"/>
      <c r="AQ51" s="21"/>
      <c r="AR51" s="21"/>
      <c r="AS51" s="21"/>
      <c r="AT51" s="20"/>
      <c r="AU51" s="20"/>
      <c r="AV51" s="20"/>
      <c r="AW51" s="20"/>
      <c r="AX51" s="20"/>
      <c r="AY51" s="21"/>
      <c r="AZ51" s="21"/>
      <c r="BA51" s="21"/>
      <c r="BB51" s="21"/>
      <c r="BC51" s="21"/>
      <c r="BD51" s="21"/>
      <c r="BE51" s="53"/>
      <c r="BF51" s="25"/>
      <c r="BG51" s="53"/>
      <c r="BH51" s="25"/>
      <c r="BI51" s="21"/>
      <c r="BJ51" s="20"/>
      <c r="BK51" s="21"/>
      <c r="BL51" s="21"/>
      <c r="BM51" s="21"/>
      <c r="BN51" s="21"/>
      <c r="BO51" s="21"/>
      <c r="BP51" s="21"/>
      <c r="BQ51" s="21"/>
      <c r="BR51" s="21"/>
      <c r="BS51" s="21"/>
      <c r="BT51" s="21"/>
      <c r="BU51" s="21"/>
      <c r="BV51" s="21"/>
      <c r="BW51" s="21"/>
      <c r="BX51" s="21"/>
      <c r="BY51" s="21"/>
      <c r="BZ51" s="21"/>
      <c r="CA51" s="21"/>
      <c r="CB51" s="21"/>
      <c r="CC51" s="21"/>
      <c r="CD51" s="21"/>
      <c r="CE51" s="43"/>
    </row>
    <row r="52" spans="1:83" s="24" customFormat="1" x14ac:dyDescent="0.2">
      <c r="A52" s="23"/>
      <c r="B52" s="23"/>
      <c r="C52" s="19"/>
      <c r="D52" s="23"/>
      <c r="E52" s="23"/>
      <c r="F52" s="23"/>
      <c r="G52" s="23"/>
      <c r="H52" s="23"/>
      <c r="I52" s="23"/>
      <c r="J52" s="23"/>
      <c r="K52" s="23"/>
      <c r="L52" s="23"/>
      <c r="M52" s="23"/>
      <c r="N52" s="20"/>
      <c r="O52" s="50"/>
      <c r="P52" s="51"/>
      <c r="Q52" s="20"/>
      <c r="R52" s="20"/>
      <c r="S52" s="20"/>
      <c r="T52" s="20"/>
      <c r="U52" s="20"/>
      <c r="V52" s="20"/>
      <c r="W52" s="20"/>
      <c r="X52" s="20"/>
      <c r="Y52" s="53"/>
      <c r="Z52" s="21"/>
      <c r="AA52" s="21"/>
      <c r="AB52" s="21"/>
      <c r="AC52" s="21"/>
      <c r="AD52" s="54"/>
      <c r="AE52" s="54"/>
      <c r="AF52" s="54"/>
      <c r="AG52" s="54"/>
      <c r="AH52" s="54"/>
      <c r="AI52" s="20"/>
      <c r="AJ52" s="20"/>
      <c r="AK52" s="20"/>
      <c r="AL52" s="20"/>
      <c r="AM52" s="20"/>
      <c r="AN52" s="21"/>
      <c r="AO52" s="21"/>
      <c r="AP52" s="21"/>
      <c r="AQ52" s="21"/>
      <c r="AR52" s="21"/>
      <c r="AS52" s="21"/>
      <c r="AT52" s="20"/>
      <c r="AU52" s="20"/>
      <c r="AV52" s="20"/>
      <c r="AW52" s="20"/>
      <c r="AX52" s="20"/>
      <c r="AY52" s="21"/>
      <c r="AZ52" s="21"/>
      <c r="BA52" s="21"/>
      <c r="BB52" s="21"/>
      <c r="BC52" s="21"/>
      <c r="BD52" s="21"/>
      <c r="BE52" s="53"/>
      <c r="BF52" s="25"/>
      <c r="BG52" s="53"/>
      <c r="BH52" s="25"/>
      <c r="BI52" s="21"/>
      <c r="BJ52" s="20"/>
      <c r="BK52" s="21"/>
      <c r="BL52" s="21"/>
      <c r="BM52" s="21"/>
      <c r="BN52" s="21"/>
      <c r="BO52" s="21"/>
      <c r="BP52" s="21"/>
      <c r="BQ52" s="21"/>
      <c r="BR52" s="21"/>
      <c r="BS52" s="21"/>
      <c r="BT52" s="21"/>
      <c r="BU52" s="21"/>
      <c r="BV52" s="21"/>
      <c r="BW52" s="21"/>
      <c r="BX52" s="21"/>
      <c r="BY52" s="21"/>
      <c r="BZ52" s="21"/>
      <c r="CA52" s="21"/>
      <c r="CB52" s="21"/>
      <c r="CC52" s="21"/>
      <c r="CD52" s="21"/>
      <c r="CE52" s="43"/>
    </row>
    <row r="53" spans="1:83" s="24" customFormat="1" x14ac:dyDescent="0.2">
      <c r="A53" s="23"/>
      <c r="B53" s="23"/>
      <c r="C53" s="19"/>
      <c r="D53" s="23"/>
      <c r="E53" s="23"/>
      <c r="F53" s="23"/>
      <c r="G53" s="23"/>
      <c r="H53" s="23"/>
      <c r="I53" s="23"/>
      <c r="J53" s="23"/>
      <c r="K53" s="23"/>
      <c r="L53" s="23"/>
      <c r="M53" s="23"/>
      <c r="N53" s="20"/>
      <c r="O53" s="50"/>
      <c r="P53" s="51"/>
      <c r="Q53" s="20"/>
      <c r="R53" s="20"/>
      <c r="S53" s="20"/>
      <c r="T53" s="20"/>
      <c r="U53" s="20"/>
      <c r="V53" s="20"/>
      <c r="W53" s="20"/>
      <c r="X53" s="20"/>
      <c r="Y53" s="53"/>
      <c r="Z53" s="21"/>
      <c r="AA53" s="21"/>
      <c r="AB53" s="21"/>
      <c r="AC53" s="21"/>
      <c r="AD53" s="54"/>
      <c r="AE53" s="54"/>
      <c r="AF53" s="54"/>
      <c r="AG53" s="54"/>
      <c r="AH53" s="54"/>
      <c r="AI53" s="20"/>
      <c r="AJ53" s="20"/>
      <c r="AK53" s="20"/>
      <c r="AL53" s="20"/>
      <c r="AM53" s="20"/>
      <c r="AN53" s="21"/>
      <c r="AO53" s="21"/>
      <c r="AP53" s="21"/>
      <c r="AQ53" s="21"/>
      <c r="AR53" s="21"/>
      <c r="AS53" s="21"/>
      <c r="AT53" s="20"/>
      <c r="AU53" s="20"/>
      <c r="AV53" s="20"/>
      <c r="AW53" s="20"/>
      <c r="AX53" s="20"/>
      <c r="AY53" s="21"/>
      <c r="AZ53" s="21"/>
      <c r="BA53" s="21"/>
      <c r="BB53" s="21"/>
      <c r="BC53" s="21"/>
      <c r="BD53" s="21"/>
      <c r="BE53" s="53"/>
      <c r="BF53" s="25"/>
      <c r="BG53" s="53"/>
      <c r="BH53" s="25"/>
      <c r="BI53" s="21"/>
      <c r="BJ53" s="20"/>
      <c r="BK53" s="21"/>
      <c r="BL53" s="21"/>
      <c r="BM53" s="21"/>
      <c r="BN53" s="21"/>
      <c r="BO53" s="21"/>
      <c r="BP53" s="21"/>
      <c r="BQ53" s="21"/>
      <c r="BR53" s="21"/>
      <c r="BS53" s="21"/>
      <c r="BT53" s="21"/>
      <c r="BU53" s="21"/>
      <c r="BV53" s="21"/>
      <c r="BW53" s="21"/>
      <c r="BX53" s="21"/>
      <c r="BY53" s="21"/>
      <c r="BZ53" s="21"/>
      <c r="CA53" s="21"/>
      <c r="CB53" s="21"/>
      <c r="CC53" s="21"/>
      <c r="CD53" s="21"/>
      <c r="CE53" s="43"/>
    </row>
    <row r="54" spans="1:83" s="24" customFormat="1" x14ac:dyDescent="0.2">
      <c r="A54" s="23"/>
      <c r="B54" s="23"/>
      <c r="C54" s="19"/>
      <c r="D54" s="23"/>
      <c r="E54" s="23"/>
      <c r="F54" s="23"/>
      <c r="G54" s="23"/>
      <c r="H54" s="23"/>
      <c r="I54" s="23"/>
      <c r="J54" s="23"/>
      <c r="K54" s="23"/>
      <c r="L54" s="23"/>
      <c r="M54" s="23"/>
      <c r="N54" s="20"/>
      <c r="O54" s="50"/>
      <c r="P54" s="51"/>
      <c r="Q54" s="20"/>
      <c r="R54" s="20"/>
      <c r="S54" s="20"/>
      <c r="T54" s="20"/>
      <c r="U54" s="20"/>
      <c r="V54" s="20"/>
      <c r="W54" s="20"/>
      <c r="X54" s="20"/>
      <c r="Y54" s="53"/>
      <c r="Z54" s="21"/>
      <c r="AA54" s="21"/>
      <c r="AB54" s="21"/>
      <c r="AC54" s="21"/>
      <c r="AD54" s="54"/>
      <c r="AE54" s="54"/>
      <c r="AF54" s="54"/>
      <c r="AG54" s="54"/>
      <c r="AH54" s="54"/>
      <c r="AI54" s="20"/>
      <c r="AJ54" s="20"/>
      <c r="AK54" s="20"/>
      <c r="AL54" s="20"/>
      <c r="AM54" s="20"/>
      <c r="AN54" s="21"/>
      <c r="AO54" s="21"/>
      <c r="AP54" s="21"/>
      <c r="AQ54" s="21"/>
      <c r="AR54" s="21"/>
      <c r="AS54" s="21"/>
      <c r="AT54" s="20"/>
      <c r="AU54" s="20"/>
      <c r="AV54" s="20"/>
      <c r="AW54" s="20"/>
      <c r="AX54" s="20"/>
      <c r="AY54" s="21"/>
      <c r="AZ54" s="21"/>
      <c r="BA54" s="21"/>
      <c r="BB54" s="21"/>
      <c r="BC54" s="21"/>
      <c r="BD54" s="21"/>
      <c r="BE54" s="53"/>
      <c r="BF54" s="25"/>
      <c r="BG54" s="53"/>
      <c r="BH54" s="25"/>
      <c r="BI54" s="21"/>
      <c r="BJ54" s="20"/>
      <c r="BK54" s="21"/>
      <c r="BL54" s="21"/>
      <c r="BM54" s="21"/>
      <c r="BN54" s="21"/>
      <c r="BO54" s="21"/>
      <c r="BP54" s="21"/>
      <c r="BQ54" s="21"/>
      <c r="BR54" s="21"/>
      <c r="BS54" s="21"/>
      <c r="BT54" s="21"/>
      <c r="BU54" s="21"/>
      <c r="BV54" s="21"/>
      <c r="BW54" s="21"/>
      <c r="BX54" s="21"/>
      <c r="BY54" s="21"/>
      <c r="BZ54" s="21"/>
      <c r="CA54" s="21"/>
      <c r="CB54" s="21"/>
      <c r="CC54" s="21"/>
      <c r="CD54" s="21"/>
      <c r="CE54" s="43"/>
    </row>
    <row r="55" spans="1:83" s="24" customFormat="1" x14ac:dyDescent="0.2">
      <c r="A55" s="23"/>
      <c r="B55" s="23"/>
      <c r="C55" s="19"/>
      <c r="D55" s="23"/>
      <c r="E55" s="23"/>
      <c r="F55" s="23"/>
      <c r="G55" s="23"/>
      <c r="H55" s="23"/>
      <c r="I55" s="23"/>
      <c r="J55" s="23"/>
      <c r="K55" s="23"/>
      <c r="L55" s="23"/>
      <c r="M55" s="23"/>
      <c r="N55" s="20"/>
      <c r="O55" s="50"/>
      <c r="P55" s="51"/>
      <c r="Q55" s="20"/>
      <c r="R55" s="20"/>
      <c r="S55" s="20"/>
      <c r="T55" s="20"/>
      <c r="U55" s="20"/>
      <c r="V55" s="20"/>
      <c r="W55" s="20"/>
      <c r="X55" s="20"/>
      <c r="Y55" s="53"/>
      <c r="Z55" s="21"/>
      <c r="AA55" s="21"/>
      <c r="AB55" s="21"/>
      <c r="AC55" s="21"/>
      <c r="AD55" s="54"/>
      <c r="AE55" s="54"/>
      <c r="AF55" s="54"/>
      <c r="AG55" s="54"/>
      <c r="AH55" s="54"/>
      <c r="AI55" s="20"/>
      <c r="AJ55" s="20"/>
      <c r="AK55" s="20"/>
      <c r="AL55" s="20"/>
      <c r="AM55" s="20"/>
      <c r="AN55" s="21"/>
      <c r="AO55" s="21"/>
      <c r="AP55" s="21"/>
      <c r="AQ55" s="21"/>
      <c r="AR55" s="21"/>
      <c r="AS55" s="21"/>
      <c r="AT55" s="20"/>
      <c r="AU55" s="20"/>
      <c r="AV55" s="20"/>
      <c r="AW55" s="20"/>
      <c r="AX55" s="20"/>
      <c r="AY55" s="21"/>
      <c r="AZ55" s="21"/>
      <c r="BA55" s="21"/>
      <c r="BB55" s="21"/>
      <c r="BC55" s="21"/>
      <c r="BD55" s="21"/>
      <c r="BE55" s="53"/>
      <c r="BF55" s="25"/>
      <c r="BG55" s="53"/>
      <c r="BH55" s="25"/>
      <c r="BI55" s="21"/>
      <c r="BJ55" s="20"/>
      <c r="BK55" s="21"/>
      <c r="BL55" s="21"/>
      <c r="BM55" s="21"/>
      <c r="BN55" s="21"/>
      <c r="BO55" s="21"/>
      <c r="BP55" s="21"/>
      <c r="BQ55" s="21"/>
      <c r="BR55" s="21"/>
      <c r="BS55" s="21"/>
      <c r="BT55" s="21"/>
      <c r="BU55" s="21"/>
      <c r="BV55" s="21"/>
      <c r="BW55" s="21"/>
      <c r="BX55" s="21"/>
      <c r="BY55" s="21"/>
      <c r="BZ55" s="21"/>
      <c r="CA55" s="21"/>
      <c r="CB55" s="21"/>
      <c r="CC55" s="21"/>
      <c r="CD55" s="21"/>
      <c r="CE55" s="43"/>
    </row>
    <row r="56" spans="1:83" s="24" customFormat="1" x14ac:dyDescent="0.2">
      <c r="A56" s="23"/>
      <c r="B56" s="23"/>
      <c r="C56" s="19"/>
      <c r="D56" s="23"/>
      <c r="E56" s="23"/>
      <c r="F56" s="23"/>
      <c r="G56" s="23"/>
      <c r="H56" s="23"/>
      <c r="I56" s="23"/>
      <c r="J56" s="23"/>
      <c r="K56" s="23"/>
      <c r="L56" s="23"/>
      <c r="M56" s="23"/>
      <c r="N56" s="20"/>
      <c r="O56" s="50"/>
      <c r="P56" s="51"/>
      <c r="Q56" s="20"/>
      <c r="R56" s="20"/>
      <c r="S56" s="20"/>
      <c r="T56" s="20"/>
      <c r="U56" s="20"/>
      <c r="V56" s="20"/>
      <c r="W56" s="20"/>
      <c r="X56" s="20"/>
      <c r="Y56" s="53"/>
      <c r="Z56" s="21"/>
      <c r="AA56" s="21"/>
      <c r="AB56" s="21"/>
      <c r="AC56" s="21"/>
      <c r="AD56" s="54"/>
      <c r="AE56" s="54"/>
      <c r="AF56" s="54"/>
      <c r="AG56" s="54"/>
      <c r="AH56" s="54"/>
      <c r="AI56" s="20"/>
      <c r="AJ56" s="20"/>
      <c r="AK56" s="20"/>
      <c r="AL56" s="20"/>
      <c r="AM56" s="20"/>
      <c r="AN56" s="21"/>
      <c r="AO56" s="21"/>
      <c r="AP56" s="21"/>
      <c r="AQ56" s="21"/>
      <c r="AR56" s="21"/>
      <c r="AS56" s="21"/>
      <c r="AT56" s="20"/>
      <c r="AU56" s="20"/>
      <c r="AV56" s="20"/>
      <c r="AW56" s="20"/>
      <c r="AX56" s="20"/>
      <c r="AY56" s="21"/>
      <c r="AZ56" s="21"/>
      <c r="BA56" s="21"/>
      <c r="BB56" s="21"/>
      <c r="BC56" s="21"/>
      <c r="BD56" s="21"/>
      <c r="BE56" s="53"/>
      <c r="BF56" s="25"/>
      <c r="BG56" s="53"/>
      <c r="BH56" s="25"/>
      <c r="BI56" s="21"/>
      <c r="BJ56" s="20"/>
      <c r="BK56" s="21"/>
      <c r="BL56" s="21"/>
      <c r="BM56" s="21"/>
      <c r="BN56" s="21"/>
      <c r="BO56" s="21"/>
      <c r="BP56" s="21"/>
      <c r="BQ56" s="21"/>
      <c r="BR56" s="21"/>
      <c r="BS56" s="21"/>
      <c r="BT56" s="21"/>
      <c r="BU56" s="21"/>
      <c r="BV56" s="21"/>
      <c r="BW56" s="21"/>
      <c r="BX56" s="21"/>
      <c r="BY56" s="21"/>
      <c r="BZ56" s="21"/>
      <c r="CA56" s="21"/>
      <c r="CB56" s="21"/>
      <c r="CC56" s="21"/>
      <c r="CD56" s="21"/>
      <c r="CE56" s="43"/>
    </row>
    <row r="57" spans="1:83" s="24" customFormat="1" x14ac:dyDescent="0.2">
      <c r="A57" s="23"/>
      <c r="B57" s="23"/>
      <c r="C57" s="19"/>
      <c r="D57" s="23"/>
      <c r="E57" s="23"/>
      <c r="F57" s="23"/>
      <c r="G57" s="23"/>
      <c r="H57" s="23"/>
      <c r="I57" s="23"/>
      <c r="J57" s="23"/>
      <c r="K57" s="23"/>
      <c r="L57" s="23"/>
      <c r="M57" s="23"/>
      <c r="N57" s="20"/>
      <c r="O57" s="50"/>
      <c r="P57" s="51"/>
      <c r="Q57" s="20"/>
      <c r="R57" s="20"/>
      <c r="S57" s="20"/>
      <c r="T57" s="20"/>
      <c r="U57" s="20"/>
      <c r="V57" s="20"/>
      <c r="W57" s="20"/>
      <c r="X57" s="20"/>
      <c r="Y57" s="53"/>
      <c r="Z57" s="21"/>
      <c r="AA57" s="21"/>
      <c r="AB57" s="21"/>
      <c r="AC57" s="21"/>
      <c r="AD57" s="54"/>
      <c r="AE57" s="54"/>
      <c r="AF57" s="54"/>
      <c r="AG57" s="54"/>
      <c r="AH57" s="54"/>
      <c r="AI57" s="20"/>
      <c r="AJ57" s="20"/>
      <c r="AK57" s="20"/>
      <c r="AL57" s="20"/>
      <c r="AM57" s="20"/>
      <c r="AN57" s="21"/>
      <c r="AO57" s="21"/>
      <c r="AP57" s="21"/>
      <c r="AQ57" s="21"/>
      <c r="AR57" s="21"/>
      <c r="AS57" s="21"/>
      <c r="AT57" s="20"/>
      <c r="AU57" s="20"/>
      <c r="AV57" s="20"/>
      <c r="AW57" s="20"/>
      <c r="AX57" s="20"/>
      <c r="AY57" s="21"/>
      <c r="AZ57" s="21"/>
      <c r="BA57" s="21"/>
      <c r="BB57" s="21"/>
      <c r="BC57" s="21"/>
      <c r="BD57" s="21"/>
      <c r="BE57" s="53"/>
      <c r="BF57" s="25"/>
      <c r="BG57" s="53"/>
      <c r="BH57" s="25"/>
      <c r="BI57" s="21"/>
      <c r="BJ57" s="20"/>
      <c r="BK57" s="21"/>
      <c r="BL57" s="21"/>
      <c r="BM57" s="21"/>
      <c r="BN57" s="21"/>
      <c r="BO57" s="21"/>
      <c r="BP57" s="21"/>
      <c r="BQ57" s="21"/>
      <c r="BR57" s="21"/>
      <c r="BS57" s="21"/>
      <c r="BT57" s="21"/>
      <c r="BU57" s="21"/>
      <c r="BV57" s="21"/>
      <c r="BW57" s="21"/>
      <c r="BX57" s="21"/>
      <c r="BY57" s="21"/>
      <c r="BZ57" s="21"/>
      <c r="CA57" s="21"/>
      <c r="CB57" s="21"/>
      <c r="CC57" s="21"/>
      <c r="CD57" s="21"/>
      <c r="CE57" s="43"/>
    </row>
    <row r="58" spans="1:83" s="24" customFormat="1" x14ac:dyDescent="0.2">
      <c r="A58" s="23"/>
      <c r="B58" s="23"/>
      <c r="C58" s="19"/>
      <c r="D58" s="23"/>
      <c r="E58" s="23"/>
      <c r="F58" s="23"/>
      <c r="G58" s="23"/>
      <c r="H58" s="23"/>
      <c r="I58" s="23"/>
      <c r="J58" s="23"/>
      <c r="K58" s="23"/>
      <c r="L58" s="23"/>
      <c r="M58" s="23"/>
      <c r="N58" s="20"/>
      <c r="O58" s="50"/>
      <c r="P58" s="51"/>
      <c r="Q58" s="20"/>
      <c r="R58" s="20"/>
      <c r="S58" s="20"/>
      <c r="T58" s="20"/>
      <c r="U58" s="20"/>
      <c r="V58" s="20"/>
      <c r="W58" s="20"/>
      <c r="X58" s="20"/>
      <c r="Y58" s="53"/>
      <c r="Z58" s="21"/>
      <c r="AA58" s="21"/>
      <c r="AB58" s="21"/>
      <c r="AC58" s="21"/>
      <c r="AD58" s="54"/>
      <c r="AE58" s="54"/>
      <c r="AF58" s="54"/>
      <c r="AG58" s="54"/>
      <c r="AH58" s="54"/>
      <c r="AI58" s="20"/>
      <c r="AJ58" s="20"/>
      <c r="AK58" s="20"/>
      <c r="AL58" s="20"/>
      <c r="AM58" s="20"/>
      <c r="AN58" s="21"/>
      <c r="AO58" s="21"/>
      <c r="AP58" s="21"/>
      <c r="AQ58" s="21"/>
      <c r="AR58" s="21"/>
      <c r="AS58" s="21"/>
      <c r="AT58" s="20"/>
      <c r="AU58" s="20"/>
      <c r="AV58" s="20"/>
      <c r="AW58" s="20"/>
      <c r="AX58" s="20"/>
      <c r="AY58" s="21"/>
      <c r="AZ58" s="21"/>
      <c r="BA58" s="21"/>
      <c r="BB58" s="21"/>
      <c r="BC58" s="21"/>
      <c r="BD58" s="21"/>
      <c r="BE58" s="53"/>
      <c r="BF58" s="25"/>
      <c r="BG58" s="53"/>
      <c r="BH58" s="25"/>
      <c r="BI58" s="21"/>
      <c r="BJ58" s="20"/>
      <c r="BK58" s="21"/>
      <c r="BL58" s="21"/>
      <c r="BM58" s="21"/>
      <c r="BN58" s="21"/>
      <c r="BO58" s="21"/>
      <c r="BP58" s="21"/>
      <c r="BQ58" s="21"/>
      <c r="BR58" s="21"/>
      <c r="BS58" s="21"/>
      <c r="BT58" s="21"/>
      <c r="BU58" s="21"/>
      <c r="BV58" s="21"/>
      <c r="BW58" s="21"/>
      <c r="BX58" s="21"/>
      <c r="BY58" s="21"/>
      <c r="BZ58" s="21"/>
      <c r="CA58" s="21"/>
      <c r="CB58" s="21"/>
      <c r="CC58" s="21"/>
      <c r="CD58" s="21"/>
      <c r="CE58" s="43"/>
    </row>
    <row r="59" spans="1:83" s="24" customFormat="1" x14ac:dyDescent="0.2">
      <c r="A59" s="23"/>
      <c r="B59" s="23"/>
      <c r="C59" s="19"/>
      <c r="D59" s="23"/>
      <c r="E59" s="23"/>
      <c r="F59" s="23"/>
      <c r="G59" s="23"/>
      <c r="H59" s="23"/>
      <c r="I59" s="23"/>
      <c r="J59" s="23"/>
      <c r="K59" s="23"/>
      <c r="L59" s="23"/>
      <c r="M59" s="23"/>
      <c r="N59" s="20"/>
      <c r="O59" s="50"/>
      <c r="P59" s="51"/>
      <c r="Q59" s="20"/>
      <c r="R59" s="20"/>
      <c r="S59" s="20"/>
      <c r="T59" s="20"/>
      <c r="U59" s="20"/>
      <c r="V59" s="20"/>
      <c r="W59" s="20"/>
      <c r="X59" s="20"/>
      <c r="Y59" s="53"/>
      <c r="Z59" s="21"/>
      <c r="AA59" s="21"/>
      <c r="AB59" s="21"/>
      <c r="AC59" s="21"/>
      <c r="AD59" s="54"/>
      <c r="AE59" s="54"/>
      <c r="AF59" s="54"/>
      <c r="AG59" s="54"/>
      <c r="AH59" s="54"/>
      <c r="AI59" s="20"/>
      <c r="AJ59" s="20"/>
      <c r="AK59" s="20"/>
      <c r="AL59" s="20"/>
      <c r="AM59" s="20"/>
      <c r="AN59" s="21"/>
      <c r="AO59" s="21"/>
      <c r="AP59" s="21"/>
      <c r="AQ59" s="21"/>
      <c r="AR59" s="21"/>
      <c r="AS59" s="21"/>
      <c r="AT59" s="20"/>
      <c r="AU59" s="20"/>
      <c r="AV59" s="20"/>
      <c r="AW59" s="20"/>
      <c r="AX59" s="20"/>
      <c r="AY59" s="21"/>
      <c r="AZ59" s="21"/>
      <c r="BA59" s="21"/>
      <c r="BB59" s="21"/>
      <c r="BC59" s="21"/>
      <c r="BD59" s="21"/>
      <c r="BE59" s="53"/>
      <c r="BF59" s="25"/>
      <c r="BG59" s="53"/>
      <c r="BH59" s="25"/>
      <c r="BI59" s="21"/>
      <c r="BJ59" s="20"/>
      <c r="BK59" s="21"/>
      <c r="BL59" s="21"/>
      <c r="BM59" s="21"/>
      <c r="BN59" s="21"/>
      <c r="BO59" s="21"/>
      <c r="BP59" s="21"/>
      <c r="BQ59" s="21"/>
      <c r="BR59" s="21"/>
      <c r="BS59" s="21"/>
      <c r="BT59" s="21"/>
      <c r="BU59" s="21"/>
      <c r="BV59" s="21"/>
      <c r="BW59" s="21"/>
      <c r="BX59" s="21"/>
      <c r="BY59" s="21"/>
      <c r="BZ59" s="21"/>
      <c r="CA59" s="21"/>
      <c r="CB59" s="21"/>
      <c r="CC59" s="21"/>
      <c r="CD59" s="21"/>
      <c r="CE59" s="43"/>
    </row>
    <row r="60" spans="1:83" s="24" customFormat="1" x14ac:dyDescent="0.2">
      <c r="A60" s="23"/>
      <c r="B60" s="23"/>
      <c r="C60" s="19"/>
      <c r="D60" s="23"/>
      <c r="E60" s="23"/>
      <c r="F60" s="23"/>
      <c r="G60" s="23"/>
      <c r="H60" s="23"/>
      <c r="I60" s="23"/>
      <c r="J60" s="23"/>
      <c r="K60" s="23"/>
      <c r="L60" s="23"/>
      <c r="M60" s="23"/>
      <c r="N60" s="20"/>
      <c r="O60" s="50"/>
      <c r="P60" s="51"/>
      <c r="Q60" s="20"/>
      <c r="R60" s="20"/>
      <c r="S60" s="20"/>
      <c r="T60" s="20"/>
      <c r="U60" s="20"/>
      <c r="V60" s="20"/>
      <c r="W60" s="20"/>
      <c r="X60" s="20"/>
      <c r="Y60" s="53"/>
      <c r="Z60" s="21"/>
      <c r="AA60" s="21"/>
      <c r="AB60" s="21"/>
      <c r="AC60" s="21"/>
      <c r="AD60" s="54"/>
      <c r="AE60" s="54"/>
      <c r="AF60" s="54"/>
      <c r="AG60" s="54"/>
      <c r="AH60" s="54"/>
      <c r="AI60" s="20"/>
      <c r="AJ60" s="20"/>
      <c r="AK60" s="20"/>
      <c r="AL60" s="20"/>
      <c r="AM60" s="20"/>
      <c r="AN60" s="21"/>
      <c r="AO60" s="21"/>
      <c r="AP60" s="21"/>
      <c r="AQ60" s="21"/>
      <c r="AR60" s="21"/>
      <c r="AS60" s="21"/>
      <c r="AT60" s="20"/>
      <c r="AU60" s="20"/>
      <c r="AV60" s="20"/>
      <c r="AW60" s="20"/>
      <c r="AX60" s="20"/>
      <c r="AY60" s="21"/>
      <c r="AZ60" s="21"/>
      <c r="BA60" s="21"/>
      <c r="BB60" s="21"/>
      <c r="BC60" s="21"/>
      <c r="BD60" s="21"/>
      <c r="BE60" s="53"/>
      <c r="BF60" s="25"/>
      <c r="BG60" s="53"/>
      <c r="BH60" s="25"/>
      <c r="BI60" s="21"/>
      <c r="BJ60" s="20"/>
      <c r="BK60" s="21"/>
      <c r="BL60" s="21"/>
      <c r="BM60" s="21"/>
      <c r="BN60" s="21"/>
      <c r="BO60" s="21"/>
      <c r="BP60" s="21"/>
      <c r="BQ60" s="21"/>
      <c r="BR60" s="21"/>
      <c r="BS60" s="21"/>
      <c r="BT60" s="21"/>
      <c r="BU60" s="21"/>
      <c r="BV60" s="21"/>
      <c r="BW60" s="21"/>
      <c r="BX60" s="21"/>
      <c r="BY60" s="21"/>
      <c r="BZ60" s="21"/>
      <c r="CA60" s="21"/>
      <c r="CB60" s="21"/>
      <c r="CC60" s="21"/>
      <c r="CD60" s="21"/>
      <c r="CE60" s="43"/>
    </row>
    <row r="61" spans="1:83" s="24" customFormat="1" x14ac:dyDescent="0.2">
      <c r="A61" s="23"/>
      <c r="B61" s="23"/>
      <c r="C61" s="19"/>
      <c r="D61" s="23"/>
      <c r="E61" s="23"/>
      <c r="F61" s="23"/>
      <c r="G61" s="23"/>
      <c r="H61" s="23"/>
      <c r="I61" s="23"/>
      <c r="J61" s="23"/>
      <c r="K61" s="23"/>
      <c r="L61" s="23"/>
      <c r="M61" s="23"/>
      <c r="N61" s="20"/>
      <c r="O61" s="50"/>
      <c r="P61" s="51"/>
      <c r="Q61" s="20"/>
      <c r="R61" s="20"/>
      <c r="S61" s="20"/>
      <c r="T61" s="20"/>
      <c r="U61" s="20"/>
      <c r="V61" s="20"/>
      <c r="W61" s="20"/>
      <c r="X61" s="20"/>
      <c r="Y61" s="53"/>
      <c r="Z61" s="21"/>
      <c r="AA61" s="21"/>
      <c r="AB61" s="21"/>
      <c r="AC61" s="21"/>
      <c r="AD61" s="54"/>
      <c r="AE61" s="54"/>
      <c r="AF61" s="54"/>
      <c r="AG61" s="54"/>
      <c r="AH61" s="54"/>
      <c r="AI61" s="20"/>
      <c r="AJ61" s="20"/>
      <c r="AK61" s="20"/>
      <c r="AL61" s="20"/>
      <c r="AM61" s="20"/>
      <c r="AN61" s="21"/>
      <c r="AO61" s="21"/>
      <c r="AP61" s="21"/>
      <c r="AQ61" s="21"/>
      <c r="AR61" s="21"/>
      <c r="AS61" s="21"/>
      <c r="AT61" s="20"/>
      <c r="AU61" s="20"/>
      <c r="AV61" s="20"/>
      <c r="AW61" s="20"/>
      <c r="AX61" s="20"/>
      <c r="AY61" s="21"/>
      <c r="AZ61" s="21"/>
      <c r="BA61" s="21"/>
      <c r="BB61" s="21"/>
      <c r="BC61" s="21"/>
      <c r="BD61" s="21"/>
      <c r="BE61" s="53"/>
      <c r="BF61" s="25"/>
      <c r="BG61" s="53"/>
      <c r="BH61" s="25"/>
      <c r="BI61" s="21"/>
      <c r="BJ61" s="20"/>
      <c r="BK61" s="21"/>
      <c r="BL61" s="21"/>
      <c r="BM61" s="21"/>
      <c r="BN61" s="21"/>
      <c r="BO61" s="21"/>
      <c r="BP61" s="21"/>
      <c r="BQ61" s="21"/>
      <c r="BR61" s="21"/>
      <c r="BS61" s="21"/>
      <c r="BT61" s="21"/>
      <c r="BU61" s="21"/>
      <c r="BV61" s="21"/>
      <c r="BW61" s="21"/>
      <c r="BX61" s="21"/>
      <c r="BY61" s="21"/>
      <c r="BZ61" s="21"/>
      <c r="CA61" s="21"/>
      <c r="CB61" s="21"/>
      <c r="CC61" s="21"/>
      <c r="CD61" s="21"/>
      <c r="CE61" s="43"/>
    </row>
    <row r="62" spans="1:83" s="24" customFormat="1" x14ac:dyDescent="0.2">
      <c r="A62" s="23"/>
      <c r="B62" s="23"/>
      <c r="C62" s="19"/>
      <c r="D62" s="23"/>
      <c r="E62" s="23"/>
      <c r="F62" s="23"/>
      <c r="G62" s="23"/>
      <c r="H62" s="23"/>
      <c r="I62" s="23"/>
      <c r="J62" s="23"/>
      <c r="K62" s="23"/>
      <c r="L62" s="23"/>
      <c r="M62" s="23"/>
      <c r="N62" s="20"/>
      <c r="O62" s="50"/>
      <c r="P62" s="51"/>
      <c r="Q62" s="20"/>
      <c r="R62" s="20"/>
      <c r="S62" s="20"/>
      <c r="T62" s="20"/>
      <c r="U62" s="20"/>
      <c r="V62" s="20"/>
      <c r="W62" s="20"/>
      <c r="X62" s="20"/>
      <c r="Y62" s="53"/>
      <c r="Z62" s="21"/>
      <c r="AA62" s="21"/>
      <c r="AB62" s="21"/>
      <c r="AC62" s="21"/>
      <c r="AD62" s="54"/>
      <c r="AE62" s="54"/>
      <c r="AF62" s="54"/>
      <c r="AG62" s="54"/>
      <c r="AH62" s="54"/>
      <c r="AI62" s="20"/>
      <c r="AJ62" s="20"/>
      <c r="AK62" s="20"/>
      <c r="AL62" s="20"/>
      <c r="AM62" s="20"/>
      <c r="AN62" s="21"/>
      <c r="AO62" s="21"/>
      <c r="AP62" s="21"/>
      <c r="AQ62" s="21"/>
      <c r="AR62" s="21"/>
      <c r="AS62" s="21"/>
      <c r="AT62" s="20"/>
      <c r="AU62" s="20"/>
      <c r="AV62" s="20"/>
      <c r="AW62" s="20"/>
      <c r="AX62" s="20"/>
      <c r="AY62" s="21"/>
      <c r="AZ62" s="21"/>
      <c r="BA62" s="21"/>
      <c r="BB62" s="21"/>
      <c r="BC62" s="21"/>
      <c r="BD62" s="21"/>
      <c r="BE62" s="53"/>
      <c r="BF62" s="25"/>
      <c r="BG62" s="53"/>
      <c r="BH62" s="25"/>
      <c r="BI62" s="21"/>
      <c r="BJ62" s="20"/>
      <c r="BK62" s="21"/>
      <c r="BL62" s="21"/>
      <c r="BM62" s="21"/>
      <c r="BN62" s="21"/>
      <c r="BO62" s="21"/>
      <c r="BP62" s="21"/>
      <c r="BQ62" s="21"/>
      <c r="BR62" s="21"/>
      <c r="BS62" s="21"/>
      <c r="BT62" s="21"/>
      <c r="BU62" s="21"/>
      <c r="BV62" s="21"/>
      <c r="BW62" s="21"/>
      <c r="BX62" s="21"/>
      <c r="BY62" s="21"/>
      <c r="BZ62" s="21"/>
      <c r="CA62" s="21"/>
      <c r="CB62" s="21"/>
      <c r="CC62" s="21"/>
      <c r="CD62" s="21"/>
      <c r="CE62" s="43"/>
    </row>
    <row r="63" spans="1:83" s="24" customFormat="1" x14ac:dyDescent="0.2">
      <c r="A63" s="23"/>
      <c r="B63" s="23"/>
      <c r="C63" s="19"/>
      <c r="D63" s="23"/>
      <c r="E63" s="23"/>
      <c r="F63" s="23"/>
      <c r="G63" s="23"/>
      <c r="H63" s="23"/>
      <c r="I63" s="23"/>
      <c r="J63" s="23"/>
      <c r="K63" s="23"/>
      <c r="L63" s="23"/>
      <c r="M63" s="23"/>
      <c r="N63" s="20"/>
      <c r="O63" s="50"/>
      <c r="P63" s="51"/>
      <c r="Q63" s="20"/>
      <c r="R63" s="20"/>
      <c r="S63" s="20"/>
      <c r="T63" s="20"/>
      <c r="U63" s="20"/>
      <c r="V63" s="20"/>
      <c r="W63" s="20"/>
      <c r="X63" s="20"/>
      <c r="Y63" s="53"/>
      <c r="Z63" s="21"/>
      <c r="AA63" s="21"/>
      <c r="AB63" s="21"/>
      <c r="AC63" s="21"/>
      <c r="AD63" s="54"/>
      <c r="AE63" s="54"/>
      <c r="AF63" s="54"/>
      <c r="AG63" s="54"/>
      <c r="AH63" s="54"/>
      <c r="AI63" s="20"/>
      <c r="AJ63" s="20"/>
      <c r="AK63" s="20"/>
      <c r="AL63" s="20"/>
      <c r="AM63" s="20"/>
      <c r="AN63" s="21"/>
      <c r="AO63" s="21"/>
      <c r="AP63" s="21"/>
      <c r="AQ63" s="21"/>
      <c r="AR63" s="21"/>
      <c r="AS63" s="21"/>
      <c r="AT63" s="20"/>
      <c r="AU63" s="20"/>
      <c r="AV63" s="20"/>
      <c r="AW63" s="20"/>
      <c r="AX63" s="20"/>
      <c r="AY63" s="21"/>
      <c r="AZ63" s="21"/>
      <c r="BA63" s="21"/>
      <c r="BB63" s="21"/>
      <c r="BC63" s="21"/>
      <c r="BD63" s="21"/>
      <c r="BE63" s="53"/>
      <c r="BF63" s="25"/>
      <c r="BG63" s="53"/>
      <c r="BH63" s="25"/>
      <c r="BI63" s="21"/>
      <c r="BJ63" s="20"/>
      <c r="BK63" s="21"/>
      <c r="BL63" s="21"/>
      <c r="BM63" s="21"/>
      <c r="BN63" s="21"/>
      <c r="BO63" s="21"/>
      <c r="BP63" s="21"/>
      <c r="BQ63" s="21"/>
      <c r="BR63" s="21"/>
      <c r="BS63" s="21"/>
      <c r="BT63" s="21"/>
      <c r="BU63" s="21"/>
      <c r="BV63" s="21"/>
      <c r="BW63" s="21"/>
      <c r="BX63" s="21"/>
      <c r="BY63" s="21"/>
      <c r="BZ63" s="21"/>
      <c r="CA63" s="21"/>
      <c r="CB63" s="21"/>
      <c r="CC63" s="21"/>
      <c r="CD63" s="21"/>
      <c r="CE63" s="43"/>
    </row>
    <row r="64" spans="1:83" s="24" customFormat="1" x14ac:dyDescent="0.2">
      <c r="A64" s="23"/>
      <c r="B64" s="23"/>
      <c r="C64" s="19"/>
      <c r="D64" s="23"/>
      <c r="E64" s="23"/>
      <c r="F64" s="23"/>
      <c r="G64" s="23"/>
      <c r="H64" s="23"/>
      <c r="I64" s="23"/>
      <c r="J64" s="23"/>
      <c r="K64" s="23"/>
      <c r="L64" s="23"/>
      <c r="M64" s="23"/>
      <c r="N64" s="20"/>
      <c r="O64" s="50"/>
      <c r="P64" s="51"/>
      <c r="Q64" s="20"/>
      <c r="R64" s="20"/>
      <c r="S64" s="20"/>
      <c r="T64" s="20"/>
      <c r="U64" s="20"/>
      <c r="V64" s="20"/>
      <c r="W64" s="20"/>
      <c r="X64" s="20"/>
      <c r="Y64" s="53"/>
      <c r="Z64" s="21"/>
      <c r="AA64" s="21"/>
      <c r="AB64" s="21"/>
      <c r="AC64" s="21"/>
      <c r="AD64" s="54"/>
      <c r="AE64" s="54"/>
      <c r="AF64" s="54"/>
      <c r="AG64" s="54"/>
      <c r="AH64" s="54"/>
      <c r="AI64" s="20"/>
      <c r="AJ64" s="20"/>
      <c r="AK64" s="20"/>
      <c r="AL64" s="20"/>
      <c r="AM64" s="20"/>
      <c r="AN64" s="21"/>
      <c r="AO64" s="21"/>
      <c r="AP64" s="21"/>
      <c r="AQ64" s="21"/>
      <c r="AR64" s="21"/>
      <c r="AS64" s="21"/>
      <c r="AT64" s="20"/>
      <c r="AU64" s="20"/>
      <c r="AV64" s="20"/>
      <c r="AW64" s="20"/>
      <c r="AX64" s="20"/>
      <c r="AY64" s="21"/>
      <c r="AZ64" s="21"/>
      <c r="BA64" s="21"/>
      <c r="BB64" s="21"/>
      <c r="BC64" s="21"/>
      <c r="BD64" s="21"/>
      <c r="BE64" s="53"/>
      <c r="BF64" s="25"/>
      <c r="BG64" s="53"/>
      <c r="BH64" s="25"/>
      <c r="BI64" s="21"/>
      <c r="BJ64" s="20"/>
      <c r="BK64" s="21"/>
      <c r="BL64" s="21"/>
      <c r="BM64" s="21"/>
      <c r="BN64" s="21"/>
      <c r="BO64" s="21"/>
      <c r="BP64" s="21"/>
      <c r="BQ64" s="21"/>
      <c r="BR64" s="21"/>
      <c r="BS64" s="21"/>
      <c r="BT64" s="21"/>
      <c r="BU64" s="21"/>
      <c r="BV64" s="21"/>
      <c r="BW64" s="21"/>
      <c r="BX64" s="21"/>
      <c r="BY64" s="21"/>
      <c r="BZ64" s="21"/>
      <c r="CA64" s="21"/>
      <c r="CB64" s="21"/>
      <c r="CC64" s="21"/>
      <c r="CD64" s="21"/>
      <c r="CE64" s="43"/>
    </row>
    <row r="65" spans="1:83" s="24" customFormat="1" x14ac:dyDescent="0.2">
      <c r="A65" s="23"/>
      <c r="B65" s="23"/>
      <c r="C65" s="19"/>
      <c r="D65" s="23"/>
      <c r="E65" s="23"/>
      <c r="F65" s="23"/>
      <c r="G65" s="23"/>
      <c r="H65" s="23"/>
      <c r="I65" s="23"/>
      <c r="J65" s="23"/>
      <c r="K65" s="23"/>
      <c r="L65" s="23"/>
      <c r="M65" s="23"/>
      <c r="N65" s="20"/>
      <c r="O65" s="50"/>
      <c r="P65" s="51"/>
      <c r="Q65" s="20"/>
      <c r="R65" s="20"/>
      <c r="S65" s="20"/>
      <c r="T65" s="20"/>
      <c r="U65" s="20"/>
      <c r="V65" s="20"/>
      <c r="W65" s="20"/>
      <c r="X65" s="20"/>
      <c r="Y65" s="53"/>
      <c r="Z65" s="21"/>
      <c r="AA65" s="21"/>
      <c r="AB65" s="21"/>
      <c r="AC65" s="21"/>
      <c r="AD65" s="54"/>
      <c r="AE65" s="54"/>
      <c r="AF65" s="54"/>
      <c r="AG65" s="54"/>
      <c r="AH65" s="54"/>
      <c r="AI65" s="20"/>
      <c r="AJ65" s="20"/>
      <c r="AK65" s="20"/>
      <c r="AL65" s="20"/>
      <c r="AM65" s="20"/>
      <c r="AN65" s="21"/>
      <c r="AO65" s="21"/>
      <c r="AP65" s="21"/>
      <c r="AQ65" s="21"/>
      <c r="AR65" s="21"/>
      <c r="AS65" s="21"/>
      <c r="AT65" s="20"/>
      <c r="AU65" s="20"/>
      <c r="AV65" s="20"/>
      <c r="AW65" s="20"/>
      <c r="AX65" s="20"/>
      <c r="AY65" s="21"/>
      <c r="AZ65" s="21"/>
      <c r="BA65" s="21"/>
      <c r="BB65" s="21"/>
      <c r="BC65" s="21"/>
      <c r="BD65" s="21"/>
      <c r="BE65" s="53"/>
      <c r="BF65" s="25"/>
      <c r="BG65" s="53"/>
      <c r="BH65" s="25"/>
      <c r="BI65" s="21"/>
      <c r="BJ65" s="20"/>
      <c r="BK65" s="21"/>
      <c r="BL65" s="21"/>
      <c r="BM65" s="21"/>
      <c r="BN65" s="21"/>
      <c r="BO65" s="21"/>
      <c r="BP65" s="21"/>
      <c r="BQ65" s="21"/>
      <c r="BR65" s="21"/>
      <c r="BS65" s="21"/>
      <c r="BT65" s="21"/>
      <c r="BU65" s="21"/>
      <c r="BV65" s="21"/>
      <c r="BW65" s="21"/>
      <c r="BX65" s="21"/>
      <c r="BY65" s="21"/>
      <c r="BZ65" s="21"/>
      <c r="CA65" s="21"/>
      <c r="CB65" s="21"/>
      <c r="CC65" s="21"/>
      <c r="CD65" s="21"/>
      <c r="CE65" s="43"/>
    </row>
    <row r="66" spans="1:83" s="24" customFormat="1" x14ac:dyDescent="0.2">
      <c r="A66" s="23"/>
      <c r="B66" s="23"/>
      <c r="C66" s="19"/>
      <c r="D66" s="23"/>
      <c r="E66" s="23"/>
      <c r="F66" s="23"/>
      <c r="G66" s="23"/>
      <c r="H66" s="23"/>
      <c r="I66" s="23"/>
      <c r="J66" s="23"/>
      <c r="K66" s="23"/>
      <c r="L66" s="23"/>
      <c r="M66" s="23"/>
      <c r="N66" s="20"/>
      <c r="O66" s="50"/>
      <c r="P66" s="51"/>
      <c r="Q66" s="20"/>
      <c r="R66" s="20"/>
      <c r="S66" s="20"/>
      <c r="T66" s="20"/>
      <c r="U66" s="20"/>
      <c r="V66" s="20"/>
      <c r="W66" s="20"/>
      <c r="X66" s="20"/>
      <c r="Y66" s="53"/>
      <c r="Z66" s="21"/>
      <c r="AA66" s="21"/>
      <c r="AB66" s="21"/>
      <c r="AC66" s="21"/>
      <c r="AD66" s="54"/>
      <c r="AE66" s="54"/>
      <c r="AF66" s="54"/>
      <c r="AG66" s="54"/>
      <c r="AH66" s="54"/>
      <c r="AI66" s="20"/>
      <c r="AJ66" s="20"/>
      <c r="AK66" s="20"/>
      <c r="AL66" s="20"/>
      <c r="AM66" s="20"/>
      <c r="AN66" s="21"/>
      <c r="AO66" s="21"/>
      <c r="AP66" s="21"/>
      <c r="AQ66" s="21"/>
      <c r="AR66" s="21"/>
      <c r="AS66" s="21"/>
      <c r="AT66" s="20"/>
      <c r="AU66" s="20"/>
      <c r="AV66" s="20"/>
      <c r="AW66" s="20"/>
      <c r="AX66" s="20"/>
      <c r="AY66" s="21"/>
      <c r="AZ66" s="21"/>
      <c r="BA66" s="21"/>
      <c r="BB66" s="21"/>
      <c r="BC66" s="21"/>
      <c r="BD66" s="21"/>
      <c r="BE66" s="53"/>
      <c r="BF66" s="25"/>
      <c r="BG66" s="53"/>
      <c r="BH66" s="25"/>
      <c r="BI66" s="21"/>
      <c r="BJ66" s="20"/>
      <c r="BK66" s="21"/>
      <c r="BL66" s="21"/>
      <c r="BM66" s="21"/>
      <c r="BN66" s="21"/>
      <c r="BO66" s="21"/>
      <c r="BP66" s="21"/>
      <c r="BQ66" s="21"/>
      <c r="BR66" s="21"/>
      <c r="BS66" s="21"/>
      <c r="BT66" s="21"/>
      <c r="BU66" s="21"/>
      <c r="BV66" s="21"/>
      <c r="BW66" s="21"/>
      <c r="BX66" s="21"/>
      <c r="BY66" s="21"/>
      <c r="BZ66" s="21"/>
      <c r="CA66" s="21"/>
      <c r="CB66" s="21"/>
      <c r="CC66" s="21"/>
      <c r="CD66" s="21"/>
      <c r="CE66" s="43"/>
    </row>
    <row r="67" spans="1:83" s="24" customFormat="1" x14ac:dyDescent="0.2">
      <c r="A67" s="23"/>
      <c r="B67" s="23"/>
      <c r="C67" s="19"/>
      <c r="D67" s="23"/>
      <c r="E67" s="23"/>
      <c r="F67" s="23"/>
      <c r="G67" s="23"/>
      <c r="H67" s="23"/>
      <c r="I67" s="23"/>
      <c r="J67" s="23"/>
      <c r="K67" s="23"/>
      <c r="L67" s="23"/>
      <c r="M67" s="23"/>
      <c r="N67" s="20"/>
      <c r="O67" s="50"/>
      <c r="P67" s="51"/>
      <c r="Q67" s="20"/>
      <c r="R67" s="20"/>
      <c r="S67" s="20"/>
      <c r="T67" s="20"/>
      <c r="U67" s="20"/>
      <c r="V67" s="20"/>
      <c r="W67" s="20"/>
      <c r="X67" s="20"/>
      <c r="Y67" s="53"/>
      <c r="Z67" s="21"/>
      <c r="AA67" s="21"/>
      <c r="AB67" s="21"/>
      <c r="AC67" s="21"/>
      <c r="AD67" s="54"/>
      <c r="AE67" s="54"/>
      <c r="AF67" s="54"/>
      <c r="AG67" s="54"/>
      <c r="AH67" s="54"/>
      <c r="AI67" s="20"/>
      <c r="AJ67" s="20"/>
      <c r="AK67" s="20"/>
      <c r="AL67" s="20"/>
      <c r="AM67" s="20"/>
      <c r="AN67" s="21"/>
      <c r="AO67" s="21"/>
      <c r="AP67" s="21"/>
      <c r="AQ67" s="21"/>
      <c r="AR67" s="21"/>
      <c r="AS67" s="21"/>
      <c r="AT67" s="20"/>
      <c r="AU67" s="20"/>
      <c r="AV67" s="20"/>
      <c r="AW67" s="20"/>
      <c r="AX67" s="20"/>
      <c r="AY67" s="21"/>
      <c r="AZ67" s="21"/>
      <c r="BA67" s="21"/>
      <c r="BB67" s="21"/>
      <c r="BC67" s="21"/>
      <c r="BD67" s="21"/>
      <c r="BE67" s="53"/>
      <c r="BF67" s="25"/>
      <c r="BG67" s="53"/>
      <c r="BH67" s="25"/>
      <c r="BI67" s="21"/>
      <c r="BJ67" s="20"/>
      <c r="BK67" s="21"/>
      <c r="BL67" s="21"/>
      <c r="BM67" s="21"/>
      <c r="BN67" s="21"/>
      <c r="BO67" s="21"/>
      <c r="BP67" s="21"/>
      <c r="BQ67" s="21"/>
      <c r="BR67" s="21"/>
      <c r="BS67" s="21"/>
      <c r="BT67" s="21"/>
      <c r="BU67" s="21"/>
      <c r="BV67" s="21"/>
      <c r="BW67" s="21"/>
      <c r="BX67" s="21"/>
      <c r="BY67" s="21"/>
      <c r="BZ67" s="21"/>
      <c r="CA67" s="21"/>
      <c r="CB67" s="21"/>
      <c r="CC67" s="21"/>
      <c r="CD67" s="21"/>
      <c r="CE67" s="43"/>
    </row>
    <row r="68" spans="1:83" s="24" customFormat="1" x14ac:dyDescent="0.2">
      <c r="A68" s="23"/>
      <c r="B68" s="23"/>
      <c r="C68" s="19"/>
      <c r="D68" s="23"/>
      <c r="E68" s="23"/>
      <c r="F68" s="23"/>
      <c r="G68" s="23"/>
      <c r="H68" s="23"/>
      <c r="I68" s="23"/>
      <c r="J68" s="23"/>
      <c r="K68" s="23"/>
      <c r="L68" s="23"/>
      <c r="M68" s="23"/>
      <c r="N68" s="20"/>
      <c r="O68" s="50"/>
      <c r="P68" s="51"/>
      <c r="Q68" s="20"/>
      <c r="R68" s="20"/>
      <c r="S68" s="20"/>
      <c r="T68" s="20"/>
      <c r="U68" s="20"/>
      <c r="V68" s="20"/>
      <c r="W68" s="20"/>
      <c r="X68" s="20"/>
      <c r="Y68" s="53"/>
      <c r="Z68" s="21"/>
      <c r="AA68" s="21"/>
      <c r="AB68" s="21"/>
      <c r="AC68" s="21"/>
      <c r="AD68" s="54"/>
      <c r="AE68" s="54"/>
      <c r="AF68" s="54"/>
      <c r="AG68" s="54"/>
      <c r="AH68" s="54"/>
      <c r="AI68" s="20"/>
      <c r="AJ68" s="20"/>
      <c r="AK68" s="20"/>
      <c r="AL68" s="20"/>
      <c r="AM68" s="20"/>
      <c r="AN68" s="21"/>
      <c r="AO68" s="21"/>
      <c r="AP68" s="21"/>
      <c r="AQ68" s="21"/>
      <c r="AR68" s="21"/>
      <c r="AS68" s="21"/>
      <c r="AT68" s="20"/>
      <c r="AU68" s="20"/>
      <c r="AV68" s="20"/>
      <c r="AW68" s="20"/>
      <c r="AX68" s="20"/>
      <c r="AY68" s="21"/>
      <c r="AZ68" s="21"/>
      <c r="BA68" s="21"/>
      <c r="BB68" s="21"/>
      <c r="BC68" s="21"/>
      <c r="BD68" s="21"/>
      <c r="BE68" s="53"/>
      <c r="BF68" s="25"/>
      <c r="BG68" s="53"/>
      <c r="BH68" s="25"/>
      <c r="BI68" s="21"/>
      <c r="BJ68" s="20"/>
      <c r="BK68" s="21"/>
      <c r="BL68" s="21"/>
      <c r="BM68" s="21"/>
      <c r="BN68" s="21"/>
      <c r="BO68" s="21"/>
      <c r="BP68" s="21"/>
      <c r="BQ68" s="21"/>
      <c r="BR68" s="21"/>
      <c r="BS68" s="21"/>
      <c r="BT68" s="21"/>
      <c r="BU68" s="21"/>
      <c r="BV68" s="21"/>
      <c r="BW68" s="21"/>
      <c r="BX68" s="21"/>
      <c r="BY68" s="21"/>
      <c r="BZ68" s="21"/>
      <c r="CA68" s="21"/>
      <c r="CB68" s="21"/>
      <c r="CC68" s="21"/>
      <c r="CD68" s="21"/>
      <c r="CE68" s="43"/>
    </row>
    <row r="69" spans="1:83" s="24" customFormat="1" x14ac:dyDescent="0.2">
      <c r="A69" s="23"/>
      <c r="B69" s="23"/>
      <c r="C69" s="19"/>
      <c r="D69" s="23"/>
      <c r="E69" s="23"/>
      <c r="F69" s="23"/>
      <c r="G69" s="23"/>
      <c r="H69" s="23"/>
      <c r="I69" s="23"/>
      <c r="J69" s="23"/>
      <c r="K69" s="23"/>
      <c r="L69" s="23"/>
      <c r="M69" s="23"/>
      <c r="N69" s="20"/>
      <c r="O69" s="50"/>
      <c r="P69" s="51"/>
      <c r="Q69" s="20"/>
      <c r="R69" s="20"/>
      <c r="S69" s="20"/>
      <c r="T69" s="20"/>
      <c r="U69" s="20"/>
      <c r="V69" s="20"/>
      <c r="W69" s="20"/>
      <c r="X69" s="20"/>
      <c r="Y69" s="53"/>
      <c r="Z69" s="21"/>
      <c r="AA69" s="21"/>
      <c r="AB69" s="21"/>
      <c r="AC69" s="21"/>
      <c r="AD69" s="54"/>
      <c r="AE69" s="54"/>
      <c r="AF69" s="54"/>
      <c r="AG69" s="54"/>
      <c r="AH69" s="54"/>
      <c r="AI69" s="20"/>
      <c r="AJ69" s="20"/>
      <c r="AK69" s="20"/>
      <c r="AL69" s="20"/>
      <c r="AM69" s="20"/>
      <c r="AN69" s="21"/>
      <c r="AO69" s="21"/>
      <c r="AP69" s="21"/>
      <c r="AQ69" s="21"/>
      <c r="AR69" s="21"/>
      <c r="AS69" s="21"/>
      <c r="AT69" s="20"/>
      <c r="AU69" s="20"/>
      <c r="AV69" s="20"/>
      <c r="AW69" s="20"/>
      <c r="AX69" s="20"/>
      <c r="AY69" s="21"/>
      <c r="AZ69" s="21"/>
      <c r="BA69" s="21"/>
      <c r="BB69" s="21"/>
      <c r="BC69" s="21"/>
      <c r="BD69" s="21"/>
      <c r="BE69" s="53"/>
      <c r="BF69" s="25"/>
      <c r="BG69" s="53"/>
      <c r="BH69" s="25"/>
      <c r="BI69" s="21"/>
      <c r="BJ69" s="20"/>
      <c r="BK69" s="21"/>
      <c r="BL69" s="21"/>
      <c r="BM69" s="21"/>
      <c r="BN69" s="21"/>
      <c r="BO69" s="21"/>
      <c r="BP69" s="21"/>
      <c r="BQ69" s="21"/>
      <c r="BR69" s="21"/>
      <c r="BS69" s="21"/>
      <c r="BT69" s="21"/>
      <c r="BU69" s="21"/>
      <c r="BV69" s="21"/>
      <c r="BW69" s="21"/>
      <c r="BX69" s="21"/>
      <c r="BY69" s="21"/>
      <c r="BZ69" s="21"/>
      <c r="CA69" s="21"/>
      <c r="CB69" s="21"/>
      <c r="CC69" s="21"/>
      <c r="CD69" s="21"/>
      <c r="CE69" s="43"/>
    </row>
    <row r="70" spans="1:83" s="24" customFormat="1" x14ac:dyDescent="0.2">
      <c r="A70" s="23"/>
      <c r="B70" s="23"/>
      <c r="C70" s="19"/>
      <c r="D70" s="23"/>
      <c r="E70" s="23"/>
      <c r="F70" s="23"/>
      <c r="G70" s="23"/>
      <c r="H70" s="23"/>
      <c r="I70" s="23"/>
      <c r="J70" s="23"/>
      <c r="K70" s="23"/>
      <c r="L70" s="23"/>
      <c r="M70" s="23"/>
      <c r="N70" s="20"/>
      <c r="O70" s="50"/>
      <c r="P70" s="51"/>
      <c r="Q70" s="20"/>
      <c r="R70" s="20"/>
      <c r="S70" s="20"/>
      <c r="T70" s="20"/>
      <c r="U70" s="20"/>
      <c r="V70" s="20"/>
      <c r="W70" s="20"/>
      <c r="X70" s="20"/>
      <c r="Y70" s="53"/>
      <c r="Z70" s="21"/>
      <c r="AA70" s="21"/>
      <c r="AB70" s="21"/>
      <c r="AC70" s="21"/>
      <c r="AD70" s="54"/>
      <c r="AE70" s="54"/>
      <c r="AF70" s="54"/>
      <c r="AG70" s="54"/>
      <c r="AH70" s="54"/>
      <c r="AI70" s="20"/>
      <c r="AJ70" s="20"/>
      <c r="AK70" s="20"/>
      <c r="AL70" s="20"/>
      <c r="AM70" s="20"/>
      <c r="AN70" s="21"/>
      <c r="AO70" s="21"/>
      <c r="AP70" s="21"/>
      <c r="AQ70" s="21"/>
      <c r="AR70" s="21"/>
      <c r="AS70" s="21"/>
      <c r="AT70" s="20"/>
      <c r="AU70" s="20"/>
      <c r="AV70" s="20"/>
      <c r="AW70" s="20"/>
      <c r="AX70" s="20"/>
      <c r="AY70" s="21"/>
      <c r="AZ70" s="21"/>
      <c r="BA70" s="21"/>
      <c r="BB70" s="21"/>
      <c r="BC70" s="21"/>
      <c r="BD70" s="21"/>
      <c r="BE70" s="53"/>
      <c r="BF70" s="25"/>
      <c r="BG70" s="53"/>
      <c r="BH70" s="25"/>
      <c r="BI70" s="21"/>
      <c r="BJ70" s="20"/>
      <c r="BK70" s="21"/>
      <c r="BL70" s="21"/>
      <c r="BM70" s="21"/>
      <c r="BN70" s="21"/>
      <c r="BO70" s="21"/>
      <c r="BP70" s="21"/>
      <c r="BQ70" s="21"/>
      <c r="BR70" s="21"/>
      <c r="BS70" s="21"/>
      <c r="BT70" s="21"/>
      <c r="BU70" s="21"/>
      <c r="BV70" s="21"/>
      <c r="BW70" s="21"/>
      <c r="BX70" s="21"/>
      <c r="BY70" s="21"/>
      <c r="BZ70" s="21"/>
      <c r="CA70" s="21"/>
      <c r="CB70" s="21"/>
      <c r="CC70" s="21"/>
      <c r="CD70" s="21"/>
      <c r="CE70" s="43"/>
    </row>
    <row r="71" spans="1:83" s="24" customFormat="1" x14ac:dyDescent="0.2">
      <c r="A71" s="23"/>
      <c r="B71" s="23"/>
      <c r="C71" s="19"/>
      <c r="D71" s="23"/>
      <c r="E71" s="23"/>
      <c r="F71" s="23"/>
      <c r="G71" s="23"/>
      <c r="H71" s="23"/>
      <c r="I71" s="23"/>
      <c r="J71" s="23"/>
      <c r="K71" s="23"/>
      <c r="L71" s="23"/>
      <c r="M71" s="23"/>
      <c r="N71" s="20"/>
      <c r="O71" s="50"/>
      <c r="P71" s="51"/>
      <c r="Q71" s="20"/>
      <c r="R71" s="20"/>
      <c r="S71" s="20"/>
      <c r="T71" s="20"/>
      <c r="U71" s="20"/>
      <c r="V71" s="20"/>
      <c r="W71" s="20"/>
      <c r="X71" s="20"/>
      <c r="Y71" s="53"/>
      <c r="Z71" s="21"/>
      <c r="AA71" s="21"/>
      <c r="AB71" s="21"/>
      <c r="AC71" s="21"/>
      <c r="AD71" s="54"/>
      <c r="AE71" s="54"/>
      <c r="AF71" s="54"/>
      <c r="AG71" s="54"/>
      <c r="AH71" s="54"/>
      <c r="AI71" s="20"/>
      <c r="AJ71" s="20"/>
      <c r="AK71" s="20"/>
      <c r="AL71" s="20"/>
      <c r="AM71" s="20"/>
      <c r="AN71" s="21"/>
      <c r="AO71" s="21"/>
      <c r="AP71" s="21"/>
      <c r="AQ71" s="21"/>
      <c r="AR71" s="21"/>
      <c r="AS71" s="21"/>
      <c r="AT71" s="20"/>
      <c r="AU71" s="20"/>
      <c r="AV71" s="20"/>
      <c r="AW71" s="20"/>
      <c r="AX71" s="20"/>
      <c r="AY71" s="21"/>
      <c r="AZ71" s="21"/>
      <c r="BA71" s="21"/>
      <c r="BB71" s="21"/>
      <c r="BC71" s="21"/>
      <c r="BD71" s="21"/>
      <c r="BE71" s="53"/>
      <c r="BF71" s="25"/>
      <c r="BG71" s="53"/>
      <c r="BH71" s="25"/>
      <c r="BI71" s="21"/>
      <c r="BJ71" s="20"/>
      <c r="BK71" s="21"/>
      <c r="BL71" s="21"/>
      <c r="BM71" s="21"/>
      <c r="BN71" s="21"/>
      <c r="BO71" s="21"/>
      <c r="BP71" s="21"/>
      <c r="BQ71" s="21"/>
      <c r="BR71" s="21"/>
      <c r="BS71" s="21"/>
      <c r="BT71" s="21"/>
      <c r="BU71" s="21"/>
      <c r="BV71" s="21"/>
      <c r="BW71" s="21"/>
      <c r="BX71" s="21"/>
      <c r="BY71" s="21"/>
      <c r="BZ71" s="21"/>
      <c r="CA71" s="21"/>
      <c r="CB71" s="21"/>
      <c r="CC71" s="21"/>
      <c r="CD71" s="21"/>
      <c r="CE71" s="43"/>
    </row>
    <row r="72" spans="1:83" s="24" customFormat="1" x14ac:dyDescent="0.2">
      <c r="A72" s="23"/>
      <c r="B72" s="23"/>
      <c r="C72" s="19"/>
      <c r="D72" s="23"/>
      <c r="E72" s="23"/>
      <c r="F72" s="23"/>
      <c r="G72" s="23"/>
      <c r="H72" s="23"/>
      <c r="I72" s="23"/>
      <c r="J72" s="23"/>
      <c r="K72" s="23"/>
      <c r="L72" s="23"/>
      <c r="M72" s="23"/>
      <c r="N72" s="20"/>
      <c r="O72" s="50"/>
      <c r="P72" s="51"/>
      <c r="Q72" s="20"/>
      <c r="R72" s="20"/>
      <c r="S72" s="20"/>
      <c r="T72" s="20"/>
      <c r="U72" s="20"/>
      <c r="V72" s="20"/>
      <c r="W72" s="20"/>
      <c r="X72" s="20"/>
      <c r="Y72" s="53"/>
      <c r="Z72" s="21"/>
      <c r="AA72" s="21"/>
      <c r="AB72" s="21"/>
      <c r="AC72" s="21"/>
      <c r="AD72" s="54"/>
      <c r="AE72" s="54"/>
      <c r="AF72" s="54"/>
      <c r="AG72" s="54"/>
      <c r="AH72" s="54"/>
      <c r="AI72" s="20"/>
      <c r="AJ72" s="20"/>
      <c r="AK72" s="20"/>
      <c r="AL72" s="20"/>
      <c r="AM72" s="20"/>
      <c r="AN72" s="21"/>
      <c r="AO72" s="21"/>
      <c r="AP72" s="21"/>
      <c r="AQ72" s="21"/>
      <c r="AR72" s="21"/>
      <c r="AS72" s="21"/>
      <c r="AT72" s="20"/>
      <c r="AU72" s="20"/>
      <c r="AV72" s="20"/>
      <c r="AW72" s="20"/>
      <c r="AX72" s="20"/>
      <c r="AY72" s="21"/>
      <c r="AZ72" s="21"/>
      <c r="BA72" s="21"/>
      <c r="BB72" s="21"/>
      <c r="BC72" s="21"/>
      <c r="BD72" s="21"/>
      <c r="BE72" s="53"/>
      <c r="BF72" s="25"/>
      <c r="BG72" s="53"/>
      <c r="BH72" s="25"/>
      <c r="BI72" s="21"/>
      <c r="BJ72" s="20"/>
      <c r="BK72" s="21"/>
      <c r="BL72" s="21"/>
      <c r="BM72" s="21"/>
      <c r="BN72" s="21"/>
      <c r="BO72" s="21"/>
      <c r="BP72" s="21"/>
      <c r="BQ72" s="21"/>
      <c r="BR72" s="21"/>
      <c r="BS72" s="21"/>
      <c r="BT72" s="21"/>
      <c r="BU72" s="21"/>
      <c r="BV72" s="21"/>
      <c r="BW72" s="21"/>
      <c r="BX72" s="21"/>
      <c r="BY72" s="21"/>
      <c r="BZ72" s="21"/>
      <c r="CA72" s="21"/>
      <c r="CB72" s="21"/>
      <c r="CC72" s="21"/>
      <c r="CD72" s="21"/>
      <c r="CE72" s="43"/>
    </row>
    <row r="73" spans="1:83" s="24" customFormat="1" x14ac:dyDescent="0.2">
      <c r="A73" s="23"/>
      <c r="B73" s="23"/>
      <c r="C73" s="19"/>
      <c r="D73" s="23"/>
      <c r="E73" s="23"/>
      <c r="F73" s="23"/>
      <c r="G73" s="23"/>
      <c r="H73" s="23"/>
      <c r="I73" s="23"/>
      <c r="J73" s="23"/>
      <c r="K73" s="23"/>
      <c r="L73" s="23"/>
      <c r="M73" s="23"/>
      <c r="N73" s="20"/>
      <c r="O73" s="50"/>
      <c r="P73" s="51"/>
      <c r="Q73" s="20"/>
      <c r="R73" s="20"/>
      <c r="S73" s="20"/>
      <c r="T73" s="20"/>
      <c r="U73" s="20"/>
      <c r="V73" s="20"/>
      <c r="W73" s="20"/>
      <c r="X73" s="20"/>
      <c r="Y73" s="53"/>
      <c r="Z73" s="21"/>
      <c r="AA73" s="21"/>
      <c r="AB73" s="21"/>
      <c r="AC73" s="21"/>
      <c r="AD73" s="54"/>
      <c r="AE73" s="54"/>
      <c r="AF73" s="54"/>
      <c r="AG73" s="54"/>
      <c r="AH73" s="54"/>
      <c r="AI73" s="20"/>
      <c r="AJ73" s="20"/>
      <c r="AK73" s="20"/>
      <c r="AL73" s="20"/>
      <c r="AM73" s="20"/>
      <c r="AN73" s="21"/>
      <c r="AO73" s="21"/>
      <c r="AP73" s="21"/>
      <c r="AQ73" s="21"/>
      <c r="AR73" s="21"/>
      <c r="AS73" s="21"/>
      <c r="AT73" s="20"/>
      <c r="AU73" s="20"/>
      <c r="AV73" s="20"/>
      <c r="AW73" s="20"/>
      <c r="AX73" s="20"/>
      <c r="AY73" s="21"/>
      <c r="AZ73" s="21"/>
      <c r="BA73" s="21"/>
      <c r="BB73" s="21"/>
      <c r="BC73" s="21"/>
      <c r="BD73" s="21"/>
      <c r="BE73" s="53"/>
      <c r="BF73" s="25"/>
      <c r="BG73" s="53"/>
      <c r="BH73" s="25"/>
      <c r="BI73" s="21"/>
      <c r="BJ73" s="20"/>
      <c r="BK73" s="21"/>
      <c r="BL73" s="21"/>
      <c r="BM73" s="21"/>
      <c r="BN73" s="21"/>
      <c r="BO73" s="21"/>
      <c r="BP73" s="21"/>
      <c r="BQ73" s="21"/>
      <c r="BR73" s="21"/>
      <c r="BS73" s="21"/>
      <c r="BT73" s="21"/>
      <c r="BU73" s="21"/>
      <c r="BV73" s="21"/>
      <c r="BW73" s="21"/>
      <c r="BX73" s="21"/>
      <c r="BY73" s="21"/>
      <c r="BZ73" s="21"/>
      <c r="CA73" s="21"/>
      <c r="CB73" s="21"/>
      <c r="CC73" s="21"/>
      <c r="CD73" s="21"/>
      <c r="CE73" s="43"/>
    </row>
    <row r="74" spans="1:83" s="24" customFormat="1" x14ac:dyDescent="0.2">
      <c r="A74" s="23"/>
      <c r="B74" s="23"/>
      <c r="C74" s="19"/>
      <c r="D74" s="23"/>
      <c r="E74" s="23"/>
      <c r="F74" s="23"/>
      <c r="G74" s="23"/>
      <c r="H74" s="23"/>
      <c r="I74" s="23"/>
      <c r="J74" s="23"/>
      <c r="K74" s="23"/>
      <c r="L74" s="23"/>
      <c r="M74" s="23"/>
      <c r="N74" s="20"/>
      <c r="O74" s="50"/>
      <c r="P74" s="51"/>
      <c r="Q74" s="20"/>
      <c r="R74" s="20"/>
      <c r="S74" s="20"/>
      <c r="T74" s="20"/>
      <c r="U74" s="20"/>
      <c r="V74" s="20"/>
      <c r="W74" s="20"/>
      <c r="X74" s="20"/>
      <c r="Y74" s="53"/>
      <c r="Z74" s="21"/>
      <c r="AA74" s="21"/>
      <c r="AB74" s="21"/>
      <c r="AC74" s="21"/>
      <c r="AD74" s="54"/>
      <c r="AE74" s="54"/>
      <c r="AF74" s="54"/>
      <c r="AG74" s="54"/>
      <c r="AH74" s="54"/>
      <c r="AI74" s="20"/>
      <c r="AJ74" s="20"/>
      <c r="AK74" s="20"/>
      <c r="AL74" s="20"/>
      <c r="AM74" s="20"/>
      <c r="AN74" s="21"/>
      <c r="AO74" s="21"/>
      <c r="AP74" s="21"/>
      <c r="AQ74" s="21"/>
      <c r="AR74" s="21"/>
      <c r="AS74" s="21"/>
      <c r="AT74" s="20"/>
      <c r="AU74" s="20"/>
      <c r="AV74" s="20"/>
      <c r="AW74" s="20"/>
      <c r="AX74" s="20"/>
      <c r="AY74" s="21"/>
      <c r="AZ74" s="21"/>
      <c r="BA74" s="21"/>
      <c r="BB74" s="21"/>
      <c r="BC74" s="21"/>
      <c r="BD74" s="21"/>
      <c r="BE74" s="53"/>
      <c r="BF74" s="25"/>
      <c r="BG74" s="53"/>
      <c r="BH74" s="25"/>
      <c r="BI74" s="21"/>
      <c r="BJ74" s="20"/>
      <c r="BK74" s="21"/>
      <c r="BL74" s="21"/>
      <c r="BM74" s="21"/>
      <c r="BN74" s="21"/>
      <c r="BO74" s="21"/>
      <c r="BP74" s="21"/>
      <c r="BQ74" s="21"/>
      <c r="BR74" s="21"/>
      <c r="BS74" s="21"/>
      <c r="BT74" s="21"/>
      <c r="BU74" s="21"/>
      <c r="BV74" s="21"/>
      <c r="BW74" s="21"/>
      <c r="BX74" s="21"/>
      <c r="BY74" s="21"/>
      <c r="BZ74" s="21"/>
      <c r="CA74" s="21"/>
      <c r="CB74" s="21"/>
      <c r="CC74" s="21"/>
      <c r="CD74" s="21"/>
      <c r="CE74" s="43"/>
    </row>
    <row r="75" spans="1:83" s="24" customFormat="1" x14ac:dyDescent="0.2">
      <c r="A75" s="23"/>
      <c r="B75" s="23"/>
      <c r="C75" s="19"/>
      <c r="D75" s="23"/>
      <c r="E75" s="23"/>
      <c r="F75" s="23"/>
      <c r="G75" s="23"/>
      <c r="H75" s="23"/>
      <c r="I75" s="23"/>
      <c r="J75" s="23"/>
      <c r="K75" s="23"/>
      <c r="L75" s="23"/>
      <c r="M75" s="23"/>
      <c r="N75" s="20"/>
      <c r="O75" s="50"/>
      <c r="P75" s="51"/>
      <c r="Q75" s="20"/>
      <c r="R75" s="20"/>
      <c r="S75" s="20"/>
      <c r="T75" s="20"/>
      <c r="U75" s="20"/>
      <c r="V75" s="20"/>
      <c r="W75" s="20"/>
      <c r="X75" s="20"/>
      <c r="Y75" s="53"/>
      <c r="Z75" s="21"/>
      <c r="AA75" s="21"/>
      <c r="AB75" s="21"/>
      <c r="AC75" s="21"/>
      <c r="AD75" s="54"/>
      <c r="AE75" s="54"/>
      <c r="AF75" s="54"/>
      <c r="AG75" s="54"/>
      <c r="AH75" s="54"/>
      <c r="AI75" s="20"/>
      <c r="AJ75" s="20"/>
      <c r="AK75" s="20"/>
      <c r="AL75" s="20"/>
      <c r="AM75" s="20"/>
      <c r="AN75" s="21"/>
      <c r="AO75" s="21"/>
      <c r="AP75" s="21"/>
      <c r="AQ75" s="21"/>
      <c r="AR75" s="21"/>
      <c r="AS75" s="21"/>
      <c r="AT75" s="20"/>
      <c r="AU75" s="20"/>
      <c r="AV75" s="20"/>
      <c r="AW75" s="20"/>
      <c r="AX75" s="20"/>
      <c r="AY75" s="21"/>
      <c r="AZ75" s="21"/>
      <c r="BA75" s="21"/>
      <c r="BB75" s="21"/>
      <c r="BC75" s="21"/>
      <c r="BD75" s="21"/>
      <c r="BE75" s="53"/>
      <c r="BF75" s="25"/>
      <c r="BG75" s="53"/>
      <c r="BH75" s="25"/>
      <c r="BI75" s="21"/>
      <c r="BJ75" s="20"/>
      <c r="BK75" s="21"/>
      <c r="BL75" s="21"/>
      <c r="BM75" s="21"/>
      <c r="BN75" s="21"/>
      <c r="BO75" s="21"/>
      <c r="BP75" s="21"/>
      <c r="BQ75" s="21"/>
      <c r="BR75" s="21"/>
      <c r="BS75" s="21"/>
      <c r="BT75" s="21"/>
      <c r="BU75" s="21"/>
      <c r="BV75" s="21"/>
      <c r="BW75" s="21"/>
      <c r="BX75" s="21"/>
      <c r="BY75" s="21"/>
      <c r="BZ75" s="21"/>
      <c r="CA75" s="21"/>
      <c r="CB75" s="21"/>
      <c r="CC75" s="21"/>
      <c r="CD75" s="21"/>
      <c r="CE75" s="43"/>
    </row>
    <row r="76" spans="1:83" s="24" customFormat="1" x14ac:dyDescent="0.2">
      <c r="A76" s="23"/>
      <c r="B76" s="23"/>
      <c r="C76" s="19"/>
      <c r="D76" s="23"/>
      <c r="E76" s="23"/>
      <c r="F76" s="23"/>
      <c r="G76" s="23"/>
      <c r="H76" s="23"/>
      <c r="I76" s="23"/>
      <c r="J76" s="23"/>
      <c r="K76" s="23"/>
      <c r="L76" s="23"/>
      <c r="M76" s="23"/>
      <c r="N76" s="20"/>
      <c r="O76" s="50"/>
      <c r="P76" s="51"/>
      <c r="Q76" s="20"/>
      <c r="R76" s="20"/>
      <c r="S76" s="20"/>
      <c r="T76" s="20"/>
      <c r="U76" s="20"/>
      <c r="V76" s="20"/>
      <c r="W76" s="20"/>
      <c r="X76" s="20"/>
      <c r="Y76" s="53"/>
      <c r="Z76" s="21"/>
      <c r="AA76" s="21"/>
      <c r="AB76" s="21"/>
      <c r="AC76" s="21"/>
      <c r="AD76" s="54"/>
      <c r="AE76" s="54"/>
      <c r="AF76" s="54"/>
      <c r="AG76" s="54"/>
      <c r="AH76" s="54"/>
      <c r="AI76" s="20"/>
      <c r="AJ76" s="20"/>
      <c r="AK76" s="20"/>
      <c r="AL76" s="20"/>
      <c r="AM76" s="20"/>
      <c r="AN76" s="21"/>
      <c r="AO76" s="21"/>
      <c r="AP76" s="21"/>
      <c r="AQ76" s="21"/>
      <c r="AR76" s="21"/>
      <c r="AS76" s="21"/>
      <c r="AT76" s="20"/>
      <c r="AU76" s="20"/>
      <c r="AV76" s="20"/>
      <c r="AW76" s="20"/>
      <c r="AX76" s="20"/>
      <c r="AY76" s="21"/>
      <c r="AZ76" s="21"/>
      <c r="BA76" s="21"/>
      <c r="BB76" s="21"/>
      <c r="BC76" s="21"/>
      <c r="BD76" s="21"/>
      <c r="BE76" s="53"/>
      <c r="BF76" s="25"/>
      <c r="BG76" s="53"/>
      <c r="BH76" s="25"/>
      <c r="BI76" s="21"/>
      <c r="BJ76" s="20"/>
      <c r="BK76" s="21"/>
      <c r="BL76" s="21"/>
      <c r="BM76" s="21"/>
      <c r="BN76" s="21"/>
      <c r="BO76" s="21"/>
      <c r="BP76" s="21"/>
      <c r="BQ76" s="21"/>
      <c r="BR76" s="21"/>
      <c r="BS76" s="21"/>
      <c r="BT76" s="21"/>
      <c r="BU76" s="21"/>
      <c r="BV76" s="21"/>
      <c r="BW76" s="21"/>
      <c r="BX76" s="21"/>
      <c r="BY76" s="21"/>
      <c r="BZ76" s="21"/>
      <c r="CA76" s="21"/>
      <c r="CB76" s="21"/>
      <c r="CC76" s="21"/>
      <c r="CD76" s="21"/>
      <c r="CE76" s="43"/>
    </row>
    <row r="77" spans="1:83" s="24" customFormat="1" x14ac:dyDescent="0.2">
      <c r="A77" s="23"/>
      <c r="B77" s="23"/>
      <c r="C77" s="29"/>
      <c r="D77" s="23"/>
      <c r="E77" s="23"/>
      <c r="F77" s="23"/>
      <c r="G77" s="23"/>
      <c r="H77" s="23"/>
      <c r="I77" s="23"/>
      <c r="J77" s="23"/>
      <c r="K77" s="23"/>
      <c r="L77" s="23"/>
      <c r="M77" s="23"/>
      <c r="N77" s="20"/>
      <c r="O77" s="50"/>
      <c r="P77" s="51"/>
      <c r="Q77" s="20"/>
      <c r="R77" s="20"/>
      <c r="S77" s="20"/>
      <c r="T77" s="20"/>
      <c r="U77" s="20"/>
      <c r="V77" s="20"/>
      <c r="W77" s="20"/>
      <c r="X77" s="20"/>
      <c r="Y77" s="53"/>
      <c r="Z77" s="21"/>
      <c r="AA77" s="21"/>
      <c r="AB77" s="21"/>
      <c r="AC77" s="21"/>
      <c r="AD77" s="54"/>
      <c r="AE77" s="54"/>
      <c r="AF77" s="54"/>
      <c r="AG77" s="54"/>
      <c r="AH77" s="54"/>
      <c r="AI77" s="20"/>
      <c r="AJ77" s="20"/>
      <c r="AK77" s="20"/>
      <c r="AL77" s="20"/>
      <c r="AM77" s="20"/>
      <c r="AN77" s="21"/>
      <c r="AO77" s="21"/>
      <c r="AP77" s="21"/>
      <c r="AQ77" s="21"/>
      <c r="AR77" s="21"/>
      <c r="AS77" s="21"/>
      <c r="AT77" s="20"/>
      <c r="AU77" s="20"/>
      <c r="AV77" s="20"/>
      <c r="AW77" s="20"/>
      <c r="AX77" s="20"/>
      <c r="AY77" s="21"/>
      <c r="AZ77" s="21"/>
      <c r="BA77" s="21"/>
      <c r="BB77" s="21"/>
      <c r="BC77" s="21"/>
      <c r="BD77" s="21"/>
      <c r="BE77" s="53"/>
      <c r="BF77" s="25"/>
      <c r="BG77" s="53"/>
      <c r="BH77" s="25"/>
      <c r="BI77" s="21"/>
      <c r="BJ77" s="20"/>
      <c r="BK77" s="21"/>
      <c r="BL77" s="21"/>
      <c r="BM77" s="21"/>
      <c r="BN77" s="21"/>
      <c r="BO77" s="21"/>
      <c r="BP77" s="21"/>
      <c r="BQ77" s="21"/>
      <c r="BR77" s="21"/>
      <c r="BS77" s="21"/>
      <c r="BT77" s="21"/>
      <c r="BU77" s="21"/>
      <c r="BV77" s="21"/>
      <c r="BW77" s="21"/>
      <c r="BX77" s="21"/>
      <c r="BY77" s="21"/>
      <c r="BZ77" s="21"/>
      <c r="CA77" s="21"/>
      <c r="CB77" s="21"/>
      <c r="CC77" s="21"/>
      <c r="CD77" s="21"/>
      <c r="CE77" s="43"/>
    </row>
    <row r="78" spans="1:83" s="24" customFormat="1" x14ac:dyDescent="0.2">
      <c r="A78" s="23"/>
      <c r="B78" s="23"/>
      <c r="C78" s="29"/>
      <c r="D78" s="23"/>
      <c r="E78" s="23"/>
      <c r="F78" s="23"/>
      <c r="G78" s="23"/>
      <c r="H78" s="23"/>
      <c r="I78" s="23"/>
      <c r="J78" s="23"/>
      <c r="K78" s="23"/>
      <c r="L78" s="23"/>
      <c r="M78" s="23"/>
      <c r="N78" s="20"/>
      <c r="O78" s="50"/>
      <c r="P78" s="51"/>
      <c r="Q78" s="20"/>
      <c r="R78" s="20"/>
      <c r="S78" s="20"/>
      <c r="T78" s="20"/>
      <c r="U78" s="20"/>
      <c r="V78" s="20"/>
      <c r="W78" s="20"/>
      <c r="X78" s="20"/>
      <c r="Y78" s="53"/>
      <c r="Z78" s="21"/>
      <c r="AA78" s="21"/>
      <c r="AB78" s="21"/>
      <c r="AC78" s="21"/>
      <c r="AD78" s="54"/>
      <c r="AE78" s="54"/>
      <c r="AF78" s="54"/>
      <c r="AG78" s="54"/>
      <c r="AH78" s="54"/>
      <c r="AI78" s="20"/>
      <c r="AJ78" s="20"/>
      <c r="AK78" s="20"/>
      <c r="AL78" s="20"/>
      <c r="AM78" s="20"/>
      <c r="AN78" s="21"/>
      <c r="AO78" s="21"/>
      <c r="AP78" s="21"/>
      <c r="AQ78" s="21"/>
      <c r="AR78" s="21"/>
      <c r="AS78" s="21"/>
      <c r="AT78" s="20"/>
      <c r="AU78" s="20"/>
      <c r="AV78" s="20"/>
      <c r="AW78" s="20"/>
      <c r="AX78" s="20"/>
      <c r="AY78" s="21"/>
      <c r="AZ78" s="21"/>
      <c r="BA78" s="21"/>
      <c r="BB78" s="21"/>
      <c r="BC78" s="21"/>
      <c r="BD78" s="21"/>
      <c r="BE78" s="53"/>
      <c r="BF78" s="25"/>
      <c r="BG78" s="53"/>
      <c r="BH78" s="25"/>
      <c r="BI78" s="21"/>
      <c r="BJ78" s="20"/>
      <c r="BK78" s="21"/>
      <c r="BL78" s="21"/>
      <c r="BM78" s="21"/>
      <c r="BN78" s="21"/>
      <c r="BO78" s="21"/>
      <c r="BP78" s="21"/>
      <c r="BQ78" s="21"/>
      <c r="BR78" s="21"/>
      <c r="BS78" s="21"/>
      <c r="BT78" s="21"/>
      <c r="BU78" s="21"/>
      <c r="BV78" s="21"/>
      <c r="BW78" s="21"/>
      <c r="BX78" s="21"/>
      <c r="BY78" s="21"/>
      <c r="BZ78" s="21"/>
      <c r="CA78" s="21"/>
      <c r="CB78" s="21"/>
      <c r="CC78" s="21"/>
      <c r="CD78" s="21"/>
      <c r="CE78" s="43"/>
    </row>
    <row r="79" spans="1:83" s="24" customFormat="1" x14ac:dyDescent="0.2">
      <c r="A79" s="23"/>
      <c r="B79" s="23"/>
      <c r="C79" s="29"/>
      <c r="D79" s="23"/>
      <c r="E79" s="23"/>
      <c r="F79" s="23"/>
      <c r="G79" s="23"/>
      <c r="H79" s="23"/>
      <c r="I79" s="23"/>
      <c r="J79" s="23"/>
      <c r="K79" s="23"/>
      <c r="L79" s="23"/>
      <c r="M79" s="23"/>
      <c r="N79" s="20"/>
      <c r="O79" s="50"/>
      <c r="P79" s="51"/>
      <c r="Q79" s="20"/>
      <c r="R79" s="20"/>
      <c r="S79" s="20"/>
      <c r="T79" s="20"/>
      <c r="U79" s="20"/>
      <c r="V79" s="20"/>
      <c r="W79" s="20"/>
      <c r="X79" s="20"/>
      <c r="Y79" s="53"/>
      <c r="Z79" s="21"/>
      <c r="AA79" s="21"/>
      <c r="AB79" s="21"/>
      <c r="AC79" s="21"/>
      <c r="AD79" s="54"/>
      <c r="AE79" s="54"/>
      <c r="AF79" s="54"/>
      <c r="AG79" s="54"/>
      <c r="AH79" s="54"/>
      <c r="AI79" s="20"/>
      <c r="AJ79" s="20"/>
      <c r="AK79" s="20"/>
      <c r="AL79" s="20"/>
      <c r="AM79" s="20"/>
      <c r="AN79" s="21"/>
      <c r="AO79" s="21"/>
      <c r="AP79" s="21"/>
      <c r="AQ79" s="21"/>
      <c r="AR79" s="21"/>
      <c r="AS79" s="21"/>
      <c r="AT79" s="20"/>
      <c r="AU79" s="20"/>
      <c r="AV79" s="20"/>
      <c r="AW79" s="20"/>
      <c r="AX79" s="20"/>
      <c r="AY79" s="21"/>
      <c r="AZ79" s="21"/>
      <c r="BA79" s="21"/>
      <c r="BB79" s="21"/>
      <c r="BC79" s="21"/>
      <c r="BD79" s="21"/>
      <c r="BE79" s="53"/>
      <c r="BF79" s="25"/>
      <c r="BG79" s="53"/>
      <c r="BH79" s="25"/>
      <c r="BI79" s="21"/>
      <c r="BJ79" s="20"/>
      <c r="BK79" s="21"/>
      <c r="BL79" s="21"/>
      <c r="BM79" s="21"/>
      <c r="BN79" s="21"/>
      <c r="BO79" s="21"/>
      <c r="BP79" s="21"/>
      <c r="BQ79" s="21"/>
      <c r="BR79" s="21"/>
      <c r="BS79" s="21"/>
      <c r="BT79" s="21"/>
      <c r="BU79" s="21"/>
      <c r="BV79" s="21"/>
      <c r="BW79" s="21"/>
      <c r="BX79" s="21"/>
      <c r="BY79" s="21"/>
      <c r="BZ79" s="21"/>
      <c r="CA79" s="21"/>
      <c r="CB79" s="21"/>
      <c r="CC79" s="21"/>
      <c r="CD79" s="21"/>
      <c r="CE79" s="43"/>
    </row>
    <row r="80" spans="1:83" s="24" customFormat="1" x14ac:dyDescent="0.2">
      <c r="A80" s="23"/>
      <c r="B80" s="23"/>
      <c r="C80" s="29"/>
      <c r="D80" s="23"/>
      <c r="E80" s="23"/>
      <c r="F80" s="23"/>
      <c r="G80" s="23"/>
      <c r="H80" s="23"/>
      <c r="I80" s="23"/>
      <c r="J80" s="23"/>
      <c r="K80" s="23"/>
      <c r="L80" s="23"/>
      <c r="M80" s="23"/>
      <c r="N80" s="20"/>
      <c r="O80" s="50"/>
      <c r="P80" s="51"/>
      <c r="Q80" s="20"/>
      <c r="R80" s="20"/>
      <c r="S80" s="20"/>
      <c r="T80" s="20"/>
      <c r="U80" s="20"/>
      <c r="V80" s="20"/>
      <c r="W80" s="20"/>
      <c r="X80" s="20"/>
      <c r="Y80" s="53"/>
      <c r="Z80" s="21"/>
      <c r="AA80" s="21"/>
      <c r="AB80" s="21"/>
      <c r="AC80" s="21"/>
      <c r="AD80" s="54"/>
      <c r="AE80" s="54"/>
      <c r="AF80" s="54"/>
      <c r="AG80" s="54"/>
      <c r="AH80" s="54"/>
      <c r="AI80" s="20"/>
      <c r="AJ80" s="20"/>
      <c r="AK80" s="20"/>
      <c r="AL80" s="20"/>
      <c r="AM80" s="20"/>
      <c r="AN80" s="21"/>
      <c r="AO80" s="21"/>
      <c r="AP80" s="21"/>
      <c r="AQ80" s="21"/>
      <c r="AR80" s="21"/>
      <c r="AS80" s="21"/>
      <c r="AT80" s="20"/>
      <c r="AU80" s="20"/>
      <c r="AV80" s="20"/>
      <c r="AW80" s="20"/>
      <c r="AX80" s="20"/>
      <c r="AY80" s="21"/>
      <c r="AZ80" s="21"/>
      <c r="BA80" s="21"/>
      <c r="BB80" s="21"/>
      <c r="BC80" s="21"/>
      <c r="BD80" s="21"/>
      <c r="BE80" s="53"/>
      <c r="BF80" s="25"/>
      <c r="BG80" s="53"/>
      <c r="BH80" s="25"/>
      <c r="BI80" s="21"/>
      <c r="BJ80" s="20"/>
      <c r="BK80" s="21"/>
      <c r="BL80" s="21"/>
      <c r="BM80" s="21"/>
      <c r="BN80" s="21"/>
      <c r="BO80" s="21"/>
      <c r="BP80" s="21"/>
      <c r="BQ80" s="21"/>
      <c r="BR80" s="21"/>
      <c r="BS80" s="21"/>
      <c r="BT80" s="21"/>
      <c r="BU80" s="21"/>
      <c r="BV80" s="21"/>
      <c r="BW80" s="21"/>
      <c r="BX80" s="21"/>
      <c r="BY80" s="21"/>
      <c r="BZ80" s="21"/>
      <c r="CA80" s="21"/>
      <c r="CB80" s="21"/>
      <c r="CC80" s="21"/>
      <c r="CD80" s="21"/>
      <c r="CE80" s="43"/>
    </row>
    <row r="81" spans="1:83" s="24" customFormat="1" x14ac:dyDescent="0.2">
      <c r="A81" s="23"/>
      <c r="B81" s="23"/>
      <c r="C81" s="29"/>
      <c r="D81" s="23"/>
      <c r="E81" s="23"/>
      <c r="F81" s="23"/>
      <c r="G81" s="23"/>
      <c r="H81" s="23"/>
      <c r="I81" s="23"/>
      <c r="J81" s="23"/>
      <c r="K81" s="23"/>
      <c r="L81" s="23"/>
      <c r="M81" s="23"/>
      <c r="N81" s="20"/>
      <c r="O81" s="50"/>
      <c r="P81" s="51"/>
      <c r="Q81" s="20"/>
      <c r="R81" s="20"/>
      <c r="S81" s="20"/>
      <c r="T81" s="20"/>
      <c r="U81" s="20"/>
      <c r="V81" s="20"/>
      <c r="W81" s="20"/>
      <c r="X81" s="20"/>
      <c r="Y81" s="53"/>
      <c r="Z81" s="21"/>
      <c r="AA81" s="21"/>
      <c r="AB81" s="21"/>
      <c r="AC81" s="21"/>
      <c r="AD81" s="54"/>
      <c r="AE81" s="54"/>
      <c r="AF81" s="54"/>
      <c r="AG81" s="54"/>
      <c r="AH81" s="54"/>
      <c r="AI81" s="20"/>
      <c r="AJ81" s="20"/>
      <c r="AK81" s="20"/>
      <c r="AL81" s="20"/>
      <c r="AM81" s="20"/>
      <c r="AN81" s="21"/>
      <c r="AO81" s="21"/>
      <c r="AP81" s="21"/>
      <c r="AQ81" s="21"/>
      <c r="AR81" s="21"/>
      <c r="AS81" s="21"/>
      <c r="AT81" s="20"/>
      <c r="AU81" s="20"/>
      <c r="AV81" s="20"/>
      <c r="AW81" s="20"/>
      <c r="AX81" s="20"/>
      <c r="AY81" s="21"/>
      <c r="AZ81" s="21"/>
      <c r="BA81" s="21"/>
      <c r="BB81" s="21"/>
      <c r="BC81" s="21"/>
      <c r="BD81" s="21"/>
      <c r="BE81" s="53"/>
      <c r="BF81" s="25"/>
      <c r="BG81" s="53"/>
      <c r="BH81" s="25"/>
      <c r="BI81" s="21"/>
      <c r="BJ81" s="20"/>
      <c r="BK81" s="21"/>
      <c r="BL81" s="21"/>
      <c r="BM81" s="21"/>
      <c r="BN81" s="21"/>
      <c r="BO81" s="21"/>
      <c r="BP81" s="21"/>
      <c r="BQ81" s="21"/>
      <c r="BR81" s="21"/>
      <c r="BS81" s="21"/>
      <c r="BT81" s="21"/>
      <c r="BU81" s="21"/>
      <c r="BV81" s="21"/>
      <c r="BW81" s="21"/>
      <c r="BX81" s="21"/>
      <c r="BY81" s="21"/>
      <c r="BZ81" s="21"/>
      <c r="CA81" s="21"/>
      <c r="CB81" s="21"/>
      <c r="CC81" s="21"/>
      <c r="CD81" s="21"/>
      <c r="CE81" s="43"/>
    </row>
    <row r="82" spans="1:83" s="24" customFormat="1" x14ac:dyDescent="0.2">
      <c r="A82" s="23"/>
      <c r="B82" s="23"/>
      <c r="C82" s="29"/>
      <c r="D82" s="23"/>
      <c r="E82" s="23"/>
      <c r="F82" s="23"/>
      <c r="G82" s="23"/>
      <c r="H82" s="23"/>
      <c r="I82" s="23"/>
      <c r="J82" s="23"/>
      <c r="K82" s="23"/>
      <c r="L82" s="23"/>
      <c r="M82" s="23"/>
      <c r="N82" s="20"/>
      <c r="O82" s="50"/>
      <c r="P82" s="51"/>
      <c r="Q82" s="20"/>
      <c r="R82" s="20"/>
      <c r="S82" s="20"/>
      <c r="T82" s="20"/>
      <c r="U82" s="20"/>
      <c r="V82" s="20"/>
      <c r="W82" s="20"/>
      <c r="X82" s="20"/>
      <c r="Y82" s="53"/>
      <c r="Z82" s="21"/>
      <c r="AA82" s="21"/>
      <c r="AB82" s="21"/>
      <c r="AC82" s="21"/>
      <c r="AD82" s="54"/>
      <c r="AE82" s="54"/>
      <c r="AF82" s="54"/>
      <c r="AG82" s="54"/>
      <c r="AH82" s="54"/>
      <c r="AI82" s="20"/>
      <c r="AJ82" s="20"/>
      <c r="AK82" s="20"/>
      <c r="AL82" s="20"/>
      <c r="AM82" s="20"/>
      <c r="AN82" s="21"/>
      <c r="AO82" s="21"/>
      <c r="AP82" s="21"/>
      <c r="AQ82" s="21"/>
      <c r="AR82" s="21"/>
      <c r="AS82" s="21"/>
      <c r="AT82" s="20"/>
      <c r="AU82" s="20"/>
      <c r="AV82" s="20"/>
      <c r="AW82" s="20"/>
      <c r="AX82" s="20"/>
      <c r="AY82" s="21"/>
      <c r="AZ82" s="21"/>
      <c r="BA82" s="21"/>
      <c r="BB82" s="21"/>
      <c r="BC82" s="21"/>
      <c r="BD82" s="21"/>
      <c r="BE82" s="53"/>
      <c r="BF82" s="25"/>
      <c r="BG82" s="53"/>
      <c r="BH82" s="25"/>
      <c r="BI82" s="21"/>
      <c r="BJ82" s="20"/>
      <c r="BK82" s="21"/>
      <c r="BL82" s="21"/>
      <c r="BM82" s="21"/>
      <c r="BN82" s="21"/>
      <c r="BO82" s="21"/>
      <c r="BP82" s="21"/>
      <c r="BQ82" s="21"/>
      <c r="BR82" s="21"/>
      <c r="BS82" s="21"/>
      <c r="BT82" s="21"/>
      <c r="BU82" s="21"/>
      <c r="BV82" s="21"/>
      <c r="BW82" s="21"/>
      <c r="BX82" s="21"/>
      <c r="BY82" s="21"/>
      <c r="BZ82" s="21"/>
      <c r="CA82" s="21"/>
      <c r="CB82" s="21"/>
      <c r="CC82" s="21"/>
      <c r="CD82" s="21"/>
      <c r="CE82" s="43"/>
    </row>
    <row r="83" spans="1:83" s="24" customFormat="1" x14ac:dyDescent="0.2">
      <c r="A83" s="23"/>
      <c r="B83" s="23"/>
      <c r="C83" s="29"/>
      <c r="D83" s="23"/>
      <c r="E83" s="23"/>
      <c r="F83" s="23"/>
      <c r="G83" s="23"/>
      <c r="H83" s="23"/>
      <c r="I83" s="23"/>
      <c r="J83" s="23"/>
      <c r="K83" s="23"/>
      <c r="L83" s="23"/>
      <c r="M83" s="23"/>
      <c r="N83" s="20"/>
      <c r="O83" s="50"/>
      <c r="P83" s="51"/>
      <c r="Q83" s="20"/>
      <c r="R83" s="20"/>
      <c r="S83" s="20"/>
      <c r="T83" s="20"/>
      <c r="U83" s="20"/>
      <c r="V83" s="20"/>
      <c r="W83" s="20"/>
      <c r="X83" s="20"/>
      <c r="Y83" s="53"/>
      <c r="Z83" s="21"/>
      <c r="AA83" s="21"/>
      <c r="AB83" s="21"/>
      <c r="AC83" s="21"/>
      <c r="AD83" s="54"/>
      <c r="AE83" s="54"/>
      <c r="AF83" s="54"/>
      <c r="AG83" s="54"/>
      <c r="AH83" s="54"/>
      <c r="AI83" s="20"/>
      <c r="AJ83" s="20"/>
      <c r="AK83" s="20"/>
      <c r="AL83" s="20"/>
      <c r="AM83" s="20"/>
      <c r="AN83" s="21"/>
      <c r="AO83" s="21"/>
      <c r="AP83" s="21"/>
      <c r="AQ83" s="21"/>
      <c r="AR83" s="21"/>
      <c r="AS83" s="21"/>
      <c r="AT83" s="20"/>
      <c r="AU83" s="20"/>
      <c r="AV83" s="20"/>
      <c r="AW83" s="20"/>
      <c r="AX83" s="20"/>
      <c r="AY83" s="21"/>
      <c r="AZ83" s="21"/>
      <c r="BA83" s="21"/>
      <c r="BB83" s="21"/>
      <c r="BC83" s="21"/>
      <c r="BD83" s="21"/>
      <c r="BE83" s="53"/>
      <c r="BF83" s="25"/>
      <c r="BG83" s="53"/>
      <c r="BH83" s="25"/>
      <c r="BI83" s="21"/>
      <c r="BJ83" s="20"/>
      <c r="BK83" s="21"/>
      <c r="BL83" s="21"/>
      <c r="BM83" s="21"/>
      <c r="BN83" s="21"/>
      <c r="BO83" s="21"/>
      <c r="BP83" s="21"/>
      <c r="BQ83" s="21"/>
      <c r="BR83" s="21"/>
      <c r="BS83" s="21"/>
      <c r="BT83" s="21"/>
      <c r="BU83" s="21"/>
      <c r="BV83" s="21"/>
      <c r="BW83" s="21"/>
      <c r="BX83" s="21"/>
      <c r="BY83" s="21"/>
      <c r="BZ83" s="21"/>
      <c r="CA83" s="21"/>
      <c r="CB83" s="21"/>
      <c r="CC83" s="21"/>
      <c r="CD83" s="21"/>
      <c r="CE83" s="43"/>
    </row>
    <row r="84" spans="1:83" s="24" customFormat="1" x14ac:dyDescent="0.2">
      <c r="A84" s="23"/>
      <c r="B84" s="23"/>
      <c r="C84" s="29"/>
      <c r="D84" s="23"/>
      <c r="E84" s="23"/>
      <c r="F84" s="23"/>
      <c r="G84" s="23"/>
      <c r="H84" s="23"/>
      <c r="I84" s="23"/>
      <c r="J84" s="23"/>
      <c r="K84" s="23"/>
      <c r="L84" s="23"/>
      <c r="M84" s="23"/>
      <c r="N84" s="20"/>
      <c r="O84" s="50"/>
      <c r="P84" s="51"/>
      <c r="Q84" s="20"/>
      <c r="R84" s="20"/>
      <c r="S84" s="20"/>
      <c r="T84" s="20"/>
      <c r="U84" s="20"/>
      <c r="V84" s="20"/>
      <c r="W84" s="20"/>
      <c r="X84" s="20"/>
      <c r="Y84" s="53"/>
      <c r="Z84" s="21"/>
      <c r="AA84" s="21"/>
      <c r="AB84" s="21"/>
      <c r="AC84" s="21"/>
      <c r="AD84" s="54"/>
      <c r="AE84" s="54"/>
      <c r="AF84" s="54"/>
      <c r="AG84" s="54"/>
      <c r="AH84" s="54"/>
      <c r="AI84" s="20"/>
      <c r="AJ84" s="20"/>
      <c r="AK84" s="20"/>
      <c r="AL84" s="20"/>
      <c r="AM84" s="20"/>
      <c r="AN84" s="21"/>
      <c r="AO84" s="21"/>
      <c r="AP84" s="21"/>
      <c r="AQ84" s="21"/>
      <c r="AR84" s="21"/>
      <c r="AS84" s="21"/>
      <c r="AT84" s="20"/>
      <c r="AU84" s="20"/>
      <c r="AV84" s="20"/>
      <c r="AW84" s="20"/>
      <c r="AX84" s="20"/>
      <c r="AY84" s="21"/>
      <c r="AZ84" s="21"/>
      <c r="BA84" s="21"/>
      <c r="BB84" s="21"/>
      <c r="BC84" s="21"/>
      <c r="BD84" s="21"/>
      <c r="BE84" s="53"/>
      <c r="BF84" s="25"/>
      <c r="BG84" s="53"/>
      <c r="BH84" s="25"/>
      <c r="BI84" s="21"/>
      <c r="BJ84" s="20"/>
      <c r="BK84" s="21"/>
      <c r="BL84" s="21"/>
      <c r="BM84" s="21"/>
      <c r="BN84" s="21"/>
      <c r="BO84" s="21"/>
      <c r="BP84" s="21"/>
      <c r="BQ84" s="21"/>
      <c r="BR84" s="21"/>
      <c r="BS84" s="21"/>
      <c r="BT84" s="21"/>
      <c r="BU84" s="21"/>
      <c r="BV84" s="21"/>
      <c r="BW84" s="21"/>
      <c r="BX84" s="21"/>
      <c r="BY84" s="21"/>
      <c r="BZ84" s="21"/>
      <c r="CA84" s="21"/>
      <c r="CB84" s="21"/>
      <c r="CC84" s="21"/>
      <c r="CD84" s="21"/>
      <c r="CE84" s="43"/>
    </row>
    <row r="85" spans="1:83" s="24" customFormat="1" x14ac:dyDescent="0.2">
      <c r="A85" s="23"/>
      <c r="B85" s="23"/>
      <c r="C85" s="29"/>
      <c r="D85" s="23"/>
      <c r="E85" s="23"/>
      <c r="F85" s="23"/>
      <c r="G85" s="23"/>
      <c r="H85" s="23"/>
      <c r="I85" s="23"/>
      <c r="J85" s="23"/>
      <c r="K85" s="23"/>
      <c r="L85" s="23"/>
      <c r="M85" s="23"/>
      <c r="N85" s="20"/>
      <c r="O85" s="50"/>
      <c r="P85" s="51"/>
      <c r="Q85" s="20"/>
      <c r="R85" s="20"/>
      <c r="S85" s="20"/>
      <c r="T85" s="20"/>
      <c r="U85" s="20"/>
      <c r="V85" s="20"/>
      <c r="W85" s="20"/>
      <c r="X85" s="20"/>
      <c r="Y85" s="53"/>
      <c r="Z85" s="21"/>
      <c r="AA85" s="21"/>
      <c r="AB85" s="21"/>
      <c r="AC85" s="21"/>
      <c r="AD85" s="54"/>
      <c r="AE85" s="54"/>
      <c r="AF85" s="54"/>
      <c r="AG85" s="54"/>
      <c r="AH85" s="54"/>
      <c r="AI85" s="20"/>
      <c r="AJ85" s="20"/>
      <c r="AK85" s="20"/>
      <c r="AL85" s="20"/>
      <c r="AM85" s="20"/>
      <c r="AN85" s="21"/>
      <c r="AO85" s="21"/>
      <c r="AP85" s="21"/>
      <c r="AQ85" s="21"/>
      <c r="AR85" s="21"/>
      <c r="AS85" s="21"/>
      <c r="AT85" s="20"/>
      <c r="AU85" s="20"/>
      <c r="AV85" s="20"/>
      <c r="AW85" s="20"/>
      <c r="AX85" s="20"/>
      <c r="AY85" s="21"/>
      <c r="AZ85" s="21"/>
      <c r="BA85" s="21"/>
      <c r="BB85" s="21"/>
      <c r="BC85" s="21"/>
      <c r="BD85" s="21"/>
      <c r="BE85" s="53"/>
      <c r="BF85" s="25"/>
      <c r="BG85" s="53"/>
      <c r="BH85" s="25"/>
      <c r="BI85" s="21"/>
      <c r="BJ85" s="20"/>
      <c r="BK85" s="21"/>
      <c r="BL85" s="21"/>
      <c r="BM85" s="21"/>
      <c r="BN85" s="21"/>
      <c r="BO85" s="21"/>
      <c r="BP85" s="21"/>
      <c r="BQ85" s="21"/>
      <c r="BR85" s="21"/>
      <c r="BS85" s="21"/>
      <c r="BT85" s="21"/>
      <c r="BU85" s="21"/>
      <c r="BV85" s="21"/>
      <c r="BW85" s="21"/>
      <c r="BX85" s="21"/>
      <c r="BY85" s="21"/>
      <c r="BZ85" s="21"/>
      <c r="CA85" s="21"/>
      <c r="CB85" s="21"/>
      <c r="CC85" s="21"/>
      <c r="CD85" s="21"/>
      <c r="CE85" s="43"/>
    </row>
    <row r="86" spans="1:83" s="24" customFormat="1" x14ac:dyDescent="0.2">
      <c r="A86" s="23"/>
      <c r="B86" s="23"/>
      <c r="C86" s="29"/>
      <c r="D86" s="23"/>
      <c r="E86" s="23"/>
      <c r="F86" s="23"/>
      <c r="G86" s="23"/>
      <c r="H86" s="23"/>
      <c r="I86" s="23"/>
      <c r="J86" s="23"/>
      <c r="K86" s="23"/>
      <c r="L86" s="23"/>
      <c r="M86" s="23"/>
      <c r="N86" s="20"/>
      <c r="O86" s="50"/>
      <c r="P86" s="51"/>
      <c r="Q86" s="20"/>
      <c r="R86" s="20"/>
      <c r="S86" s="20"/>
      <c r="T86" s="20"/>
      <c r="U86" s="20"/>
      <c r="V86" s="20"/>
      <c r="W86" s="20"/>
      <c r="X86" s="20"/>
      <c r="Y86" s="53"/>
      <c r="Z86" s="21"/>
      <c r="AA86" s="21"/>
      <c r="AB86" s="21"/>
      <c r="AC86" s="21"/>
      <c r="AD86" s="54"/>
      <c r="AE86" s="54"/>
      <c r="AF86" s="54"/>
      <c r="AG86" s="54"/>
      <c r="AH86" s="54"/>
      <c r="AI86" s="20"/>
      <c r="AJ86" s="20"/>
      <c r="AK86" s="20"/>
      <c r="AL86" s="20"/>
      <c r="AM86" s="20"/>
      <c r="AN86" s="21"/>
      <c r="AO86" s="21"/>
      <c r="AP86" s="21"/>
      <c r="AQ86" s="21"/>
      <c r="AR86" s="21"/>
      <c r="AS86" s="21"/>
      <c r="AT86" s="20"/>
      <c r="AU86" s="20"/>
      <c r="AV86" s="20"/>
      <c r="AW86" s="20"/>
      <c r="AX86" s="20"/>
      <c r="AY86" s="21"/>
      <c r="AZ86" s="21"/>
      <c r="BA86" s="21"/>
      <c r="BB86" s="21"/>
      <c r="BC86" s="21"/>
      <c r="BD86" s="21"/>
      <c r="BE86" s="53"/>
      <c r="BF86" s="25"/>
      <c r="BG86" s="53"/>
      <c r="BH86" s="25"/>
      <c r="BI86" s="21"/>
      <c r="BJ86" s="20"/>
      <c r="BK86" s="21"/>
      <c r="BL86" s="21"/>
      <c r="BM86" s="21"/>
      <c r="BN86" s="21"/>
      <c r="BO86" s="21"/>
      <c r="BP86" s="21"/>
      <c r="BQ86" s="21"/>
      <c r="BR86" s="21"/>
      <c r="BS86" s="21"/>
      <c r="BT86" s="21"/>
      <c r="BU86" s="21"/>
      <c r="BV86" s="21"/>
      <c r="BW86" s="21"/>
      <c r="BX86" s="21"/>
      <c r="BY86" s="21"/>
      <c r="BZ86" s="21"/>
      <c r="CA86" s="21"/>
      <c r="CB86" s="21"/>
      <c r="CC86" s="21"/>
      <c r="CD86" s="21"/>
      <c r="CE86" s="43"/>
    </row>
    <row r="87" spans="1:83" s="24" customFormat="1" x14ac:dyDescent="0.2">
      <c r="A87" s="23"/>
      <c r="B87" s="23"/>
      <c r="C87" s="29"/>
      <c r="D87" s="23"/>
      <c r="E87" s="23"/>
      <c r="F87" s="23"/>
      <c r="G87" s="23"/>
      <c r="H87" s="23"/>
      <c r="I87" s="23"/>
      <c r="J87" s="23"/>
      <c r="K87" s="23"/>
      <c r="L87" s="23"/>
      <c r="M87" s="23"/>
      <c r="N87" s="20"/>
      <c r="O87" s="50"/>
      <c r="P87" s="51"/>
      <c r="Q87" s="20"/>
      <c r="R87" s="20"/>
      <c r="S87" s="20"/>
      <c r="T87" s="20"/>
      <c r="U87" s="20"/>
      <c r="V87" s="20"/>
      <c r="W87" s="20"/>
      <c r="X87" s="20"/>
      <c r="Y87" s="53"/>
      <c r="Z87" s="21"/>
      <c r="AA87" s="21"/>
      <c r="AB87" s="21"/>
      <c r="AC87" s="21"/>
      <c r="AD87" s="54"/>
      <c r="AE87" s="54"/>
      <c r="AF87" s="54"/>
      <c r="AG87" s="54"/>
      <c r="AH87" s="54"/>
      <c r="AI87" s="20"/>
      <c r="AJ87" s="20"/>
      <c r="AK87" s="20"/>
      <c r="AL87" s="20"/>
      <c r="AM87" s="20"/>
      <c r="AN87" s="21"/>
      <c r="AO87" s="21"/>
      <c r="AP87" s="21"/>
      <c r="AQ87" s="21"/>
      <c r="AR87" s="21"/>
      <c r="AS87" s="21"/>
      <c r="AT87" s="20"/>
      <c r="AU87" s="20"/>
      <c r="AV87" s="20"/>
      <c r="AW87" s="20"/>
      <c r="AX87" s="20"/>
      <c r="AY87" s="21"/>
      <c r="AZ87" s="21"/>
      <c r="BA87" s="21"/>
      <c r="BB87" s="21"/>
      <c r="BC87" s="21"/>
      <c r="BD87" s="21"/>
      <c r="BE87" s="53"/>
      <c r="BF87" s="25"/>
      <c r="BG87" s="53"/>
      <c r="BH87" s="25"/>
      <c r="BI87" s="21"/>
      <c r="BJ87" s="20"/>
      <c r="BK87" s="21"/>
      <c r="BL87" s="21"/>
      <c r="BM87" s="21"/>
      <c r="BN87" s="21"/>
      <c r="BO87" s="21"/>
      <c r="BP87" s="21"/>
      <c r="BQ87" s="21"/>
      <c r="BR87" s="21"/>
      <c r="BS87" s="21"/>
      <c r="BT87" s="21"/>
      <c r="BU87" s="21"/>
      <c r="BV87" s="21"/>
      <c r="BW87" s="21"/>
      <c r="BX87" s="21"/>
      <c r="BY87" s="21"/>
      <c r="BZ87" s="21"/>
      <c r="CA87" s="21"/>
      <c r="CB87" s="21"/>
      <c r="CC87" s="21"/>
      <c r="CD87" s="21"/>
      <c r="CE87" s="43"/>
    </row>
    <row r="88" spans="1:83" x14ac:dyDescent="0.2">
      <c r="O88" s="50"/>
    </row>
    <row r="89" spans="1:83" x14ac:dyDescent="0.2">
      <c r="O89" s="50"/>
    </row>
    <row r="90" spans="1:83" x14ac:dyDescent="0.2">
      <c r="O90" s="50"/>
    </row>
    <row r="91" spans="1:83" x14ac:dyDescent="0.2">
      <c r="O91" s="50"/>
    </row>
    <row r="92" spans="1:83" x14ac:dyDescent="0.2">
      <c r="O92" s="50"/>
    </row>
    <row r="93" spans="1:83" x14ac:dyDescent="0.2">
      <c r="O93" s="50"/>
    </row>
    <row r="94" spans="1:83" x14ac:dyDescent="0.2">
      <c r="O94" s="50"/>
    </row>
    <row r="95" spans="1:83" x14ac:dyDescent="0.2">
      <c r="O95" s="50"/>
    </row>
    <row r="96" spans="1:83" x14ac:dyDescent="0.2">
      <c r="O96" s="50"/>
    </row>
    <row r="97" spans="15:15" x14ac:dyDescent="0.2">
      <c r="O97" s="50"/>
    </row>
    <row r="98" spans="15:15" x14ac:dyDescent="0.2">
      <c r="O98" s="50"/>
    </row>
    <row r="99" spans="15:15" x14ac:dyDescent="0.2">
      <c r="O99" s="50"/>
    </row>
    <row r="100" spans="15:15" x14ac:dyDescent="0.2">
      <c r="O100" s="50"/>
    </row>
    <row r="101" spans="15:15" x14ac:dyDescent="0.2">
      <c r="O101" s="50"/>
    </row>
    <row r="102" spans="15:15" x14ac:dyDescent="0.2">
      <c r="O102" s="50"/>
    </row>
    <row r="103" spans="15:15" x14ac:dyDescent="0.2">
      <c r="O103" s="50"/>
    </row>
    <row r="104" spans="15:15" x14ac:dyDescent="0.2">
      <c r="O104" s="50"/>
    </row>
    <row r="105" spans="15:15" x14ac:dyDescent="0.2">
      <c r="O105" s="50"/>
    </row>
    <row r="106" spans="15:15" x14ac:dyDescent="0.2">
      <c r="O106" s="50"/>
    </row>
    <row r="107" spans="15:15" x14ac:dyDescent="0.2">
      <c r="O107" s="50"/>
    </row>
    <row r="108" spans="15:15" x14ac:dyDescent="0.2">
      <c r="O108" s="50"/>
    </row>
    <row r="109" spans="15:15" x14ac:dyDescent="0.2">
      <c r="O109" s="50"/>
    </row>
    <row r="110" spans="15:15" x14ac:dyDescent="0.2">
      <c r="O110" s="50"/>
    </row>
    <row r="111" spans="15:15" x14ac:dyDescent="0.2">
      <c r="O111" s="50"/>
    </row>
    <row r="112" spans="15:15" x14ac:dyDescent="0.2">
      <c r="O112" s="50"/>
    </row>
    <row r="113" spans="15:15" x14ac:dyDescent="0.2">
      <c r="O113" s="50"/>
    </row>
    <row r="114" spans="15:15" x14ac:dyDescent="0.2">
      <c r="O114" s="50"/>
    </row>
    <row r="115" spans="15:15" x14ac:dyDescent="0.2">
      <c r="O115" s="50"/>
    </row>
    <row r="116" spans="15:15" x14ac:dyDescent="0.2">
      <c r="O116" s="50"/>
    </row>
    <row r="117" spans="15:15" x14ac:dyDescent="0.2">
      <c r="O117" s="50"/>
    </row>
    <row r="118" spans="15:15" x14ac:dyDescent="0.2">
      <c r="O118" s="50"/>
    </row>
    <row r="119" spans="15:15" x14ac:dyDescent="0.2">
      <c r="O119" s="50"/>
    </row>
    <row r="120" spans="15:15" x14ac:dyDescent="0.2">
      <c r="O120" s="50"/>
    </row>
    <row r="121" spans="15:15" x14ac:dyDescent="0.2">
      <c r="O121" s="50"/>
    </row>
    <row r="122" spans="15:15" x14ac:dyDescent="0.2">
      <c r="O122" s="50"/>
    </row>
    <row r="123" spans="15:15" x14ac:dyDescent="0.2">
      <c r="O123" s="50"/>
    </row>
    <row r="124" spans="15:15" x14ac:dyDescent="0.2">
      <c r="O124" s="50"/>
    </row>
    <row r="125" spans="15:15" x14ac:dyDescent="0.2">
      <c r="O125" s="50"/>
    </row>
    <row r="126" spans="15:15" x14ac:dyDescent="0.2">
      <c r="O126" s="50"/>
    </row>
    <row r="127" spans="15:15" x14ac:dyDescent="0.2">
      <c r="O127" s="50"/>
    </row>
    <row r="128" spans="15:15" x14ac:dyDescent="0.2">
      <c r="O128" s="50"/>
    </row>
    <row r="129" spans="15:15" x14ac:dyDescent="0.2">
      <c r="O129" s="50"/>
    </row>
    <row r="130" spans="15:15" x14ac:dyDescent="0.2">
      <c r="O130" s="50"/>
    </row>
    <row r="131" spans="15:15" x14ac:dyDescent="0.2">
      <c r="O131" s="50"/>
    </row>
    <row r="132" spans="15:15" x14ac:dyDescent="0.2">
      <c r="O132" s="50"/>
    </row>
    <row r="133" spans="15:15" x14ac:dyDescent="0.2">
      <c r="O133" s="50"/>
    </row>
    <row r="134" spans="15:15" x14ac:dyDescent="0.2">
      <c r="O134" s="50"/>
    </row>
    <row r="135" spans="15:15" x14ac:dyDescent="0.2">
      <c r="O135" s="50"/>
    </row>
    <row r="136" spans="15:15" x14ac:dyDescent="0.2">
      <c r="O136" s="50"/>
    </row>
    <row r="137" spans="15:15" x14ac:dyDescent="0.2">
      <c r="O137" s="50"/>
    </row>
    <row r="138" spans="15:15" x14ac:dyDescent="0.2">
      <c r="O138" s="50"/>
    </row>
    <row r="139" spans="15:15" x14ac:dyDescent="0.2">
      <c r="O139" s="50"/>
    </row>
    <row r="140" spans="15:15" x14ac:dyDescent="0.2">
      <c r="O140" s="50"/>
    </row>
    <row r="141" spans="15:15" x14ac:dyDescent="0.2">
      <c r="O141" s="50"/>
    </row>
    <row r="142" spans="15:15" x14ac:dyDescent="0.2">
      <c r="O142" s="50"/>
    </row>
    <row r="143" spans="15:15" x14ac:dyDescent="0.2">
      <c r="O143" s="50"/>
    </row>
    <row r="144" spans="15:15" x14ac:dyDescent="0.2">
      <c r="O144" s="50"/>
    </row>
    <row r="145" spans="15:15" x14ac:dyDescent="0.2">
      <c r="O145" s="50"/>
    </row>
    <row r="146" spans="15:15" x14ac:dyDescent="0.2">
      <c r="O146" s="50"/>
    </row>
    <row r="147" spans="15:15" x14ac:dyDescent="0.2">
      <c r="O147" s="50"/>
    </row>
    <row r="148" spans="15:15" x14ac:dyDescent="0.2">
      <c r="O148" s="50"/>
    </row>
    <row r="149" spans="15:15" x14ac:dyDescent="0.2">
      <c r="O149" s="50"/>
    </row>
    <row r="150" spans="15:15" x14ac:dyDescent="0.2">
      <c r="O150" s="50"/>
    </row>
    <row r="151" spans="15:15" x14ac:dyDescent="0.2">
      <c r="O151" s="50"/>
    </row>
    <row r="152" spans="15:15" x14ac:dyDescent="0.2">
      <c r="O152" s="50"/>
    </row>
    <row r="153" spans="15:15" x14ac:dyDescent="0.2">
      <c r="O153" s="50"/>
    </row>
    <row r="154" spans="15:15" x14ac:dyDescent="0.2">
      <c r="O154" s="50"/>
    </row>
    <row r="155" spans="15:15" x14ac:dyDescent="0.2">
      <c r="O155" s="50"/>
    </row>
    <row r="156" spans="15:15" x14ac:dyDescent="0.2">
      <c r="O156" s="50"/>
    </row>
    <row r="157" spans="15:15" x14ac:dyDescent="0.2">
      <c r="O157" s="50"/>
    </row>
    <row r="158" spans="15:15" x14ac:dyDescent="0.2">
      <c r="O158" s="50"/>
    </row>
    <row r="159" spans="15:15" x14ac:dyDescent="0.2">
      <c r="O159" s="50"/>
    </row>
    <row r="160" spans="15:15" x14ac:dyDescent="0.2">
      <c r="O160" s="50"/>
    </row>
    <row r="161" spans="15:15" x14ac:dyDescent="0.2">
      <c r="O161" s="50"/>
    </row>
    <row r="162" spans="15:15" x14ac:dyDescent="0.2">
      <c r="O162" s="50"/>
    </row>
    <row r="163" spans="15:15" x14ac:dyDescent="0.2">
      <c r="O163" s="50"/>
    </row>
    <row r="164" spans="15:15" x14ac:dyDescent="0.2">
      <c r="O164" s="50"/>
    </row>
    <row r="165" spans="15:15" x14ac:dyDescent="0.2">
      <c r="O165" s="50"/>
    </row>
    <row r="166" spans="15:15" x14ac:dyDescent="0.2">
      <c r="O166" s="50"/>
    </row>
    <row r="167" spans="15:15" x14ac:dyDescent="0.2">
      <c r="O167" s="50"/>
    </row>
    <row r="168" spans="15:15" x14ac:dyDescent="0.2">
      <c r="O168" s="50"/>
    </row>
    <row r="169" spans="15:15" x14ac:dyDescent="0.2">
      <c r="O169" s="50"/>
    </row>
    <row r="170" spans="15:15" x14ac:dyDescent="0.2">
      <c r="O170" s="50"/>
    </row>
    <row r="171" spans="15:15" x14ac:dyDescent="0.2">
      <c r="O171" s="50"/>
    </row>
    <row r="172" spans="15:15" x14ac:dyDescent="0.2">
      <c r="O172" s="50"/>
    </row>
    <row r="173" spans="15:15" x14ac:dyDescent="0.2">
      <c r="O173" s="50"/>
    </row>
    <row r="174" spans="15:15" x14ac:dyDescent="0.2">
      <c r="O174" s="50"/>
    </row>
    <row r="175" spans="15:15" x14ac:dyDescent="0.2">
      <c r="O175" s="50"/>
    </row>
    <row r="176" spans="15:15" x14ac:dyDescent="0.2">
      <c r="O176" s="50"/>
    </row>
    <row r="177" spans="15:15" x14ac:dyDescent="0.2">
      <c r="O177" s="50"/>
    </row>
    <row r="178" spans="15:15" x14ac:dyDescent="0.2">
      <c r="O178" s="50"/>
    </row>
    <row r="179" spans="15:15" x14ac:dyDescent="0.2">
      <c r="O179" s="50"/>
    </row>
    <row r="180" spans="15:15" x14ac:dyDescent="0.2">
      <c r="O180" s="50"/>
    </row>
    <row r="181" spans="15:15" x14ac:dyDescent="0.2">
      <c r="O181" s="50"/>
    </row>
    <row r="182" spans="15:15" x14ac:dyDescent="0.2">
      <c r="O182" s="50"/>
    </row>
    <row r="183" spans="15:15" x14ac:dyDescent="0.2">
      <c r="O183" s="50"/>
    </row>
    <row r="184" spans="15:15" x14ac:dyDescent="0.2">
      <c r="O184" s="50"/>
    </row>
    <row r="185" spans="15:15" x14ac:dyDescent="0.2">
      <c r="O185" s="50"/>
    </row>
    <row r="186" spans="15:15" x14ac:dyDescent="0.2">
      <c r="O186" s="50"/>
    </row>
    <row r="187" spans="15:15" x14ac:dyDescent="0.2">
      <c r="O187" s="50"/>
    </row>
    <row r="188" spans="15:15" x14ac:dyDescent="0.2">
      <c r="O188" s="50"/>
    </row>
    <row r="189" spans="15:15" x14ac:dyDescent="0.2">
      <c r="O189" s="50"/>
    </row>
    <row r="190" spans="15:15" x14ac:dyDescent="0.2">
      <c r="O190" s="50"/>
    </row>
    <row r="191" spans="15:15" x14ac:dyDescent="0.2">
      <c r="O191" s="50"/>
    </row>
    <row r="192" spans="15:15" x14ac:dyDescent="0.2">
      <c r="O192" s="50"/>
    </row>
    <row r="193" spans="15:15" x14ac:dyDescent="0.2">
      <c r="O193" s="50"/>
    </row>
    <row r="194" spans="15:15" x14ac:dyDescent="0.2">
      <c r="O194" s="50"/>
    </row>
    <row r="195" spans="15:15" x14ac:dyDescent="0.2">
      <c r="O195" s="50"/>
    </row>
    <row r="196" spans="15:15" x14ac:dyDescent="0.2">
      <c r="O196" s="50"/>
    </row>
    <row r="197" spans="15:15" x14ac:dyDescent="0.2">
      <c r="O197" s="50"/>
    </row>
    <row r="198" spans="15:15" x14ac:dyDescent="0.2">
      <c r="O198" s="50"/>
    </row>
    <row r="199" spans="15:15" x14ac:dyDescent="0.2">
      <c r="O199" s="50"/>
    </row>
    <row r="200" spans="15:15" x14ac:dyDescent="0.2">
      <c r="O200" s="50"/>
    </row>
    <row r="201" spans="15:15" x14ac:dyDescent="0.2">
      <c r="O201" s="50"/>
    </row>
    <row r="202" spans="15:15" x14ac:dyDescent="0.2">
      <c r="O202" s="50"/>
    </row>
    <row r="203" spans="15:15" x14ac:dyDescent="0.2">
      <c r="O203" s="50"/>
    </row>
    <row r="204" spans="15:15" x14ac:dyDescent="0.2">
      <c r="O204" s="50"/>
    </row>
    <row r="205" spans="15:15" x14ac:dyDescent="0.2">
      <c r="O205" s="50"/>
    </row>
    <row r="206" spans="15:15" x14ac:dyDescent="0.2">
      <c r="O206" s="50"/>
    </row>
    <row r="207" spans="15:15" x14ac:dyDescent="0.2">
      <c r="O207" s="50"/>
    </row>
    <row r="208" spans="15:15" x14ac:dyDescent="0.2">
      <c r="O208" s="50"/>
    </row>
    <row r="209" spans="15:15" x14ac:dyDescent="0.2">
      <c r="O209" s="50"/>
    </row>
    <row r="210" spans="15:15" x14ac:dyDescent="0.2">
      <c r="O210" s="50"/>
    </row>
    <row r="211" spans="15:15" x14ac:dyDescent="0.2">
      <c r="O211" s="50"/>
    </row>
    <row r="212" spans="15:15" x14ac:dyDescent="0.2">
      <c r="O212" s="50"/>
    </row>
    <row r="213" spans="15:15" x14ac:dyDescent="0.2">
      <c r="O213" s="50"/>
    </row>
    <row r="214" spans="15:15" x14ac:dyDescent="0.2">
      <c r="O214" s="50"/>
    </row>
    <row r="215" spans="15:15" x14ac:dyDescent="0.2">
      <c r="O215" s="50"/>
    </row>
    <row r="216" spans="15:15" x14ac:dyDescent="0.2">
      <c r="O216" s="50"/>
    </row>
    <row r="217" spans="15:15" x14ac:dyDescent="0.2">
      <c r="O217" s="50"/>
    </row>
    <row r="218" spans="15:15" x14ac:dyDescent="0.2">
      <c r="O218" s="50"/>
    </row>
    <row r="219" spans="15:15" x14ac:dyDescent="0.2">
      <c r="O219" s="50"/>
    </row>
    <row r="220" spans="15:15" x14ac:dyDescent="0.2">
      <c r="O220" s="50"/>
    </row>
    <row r="221" spans="15:15" x14ac:dyDescent="0.2">
      <c r="O221" s="50"/>
    </row>
    <row r="222" spans="15:15" x14ac:dyDescent="0.2">
      <c r="O222" s="50"/>
    </row>
    <row r="223" spans="15:15" x14ac:dyDescent="0.2">
      <c r="O223" s="50"/>
    </row>
    <row r="224" spans="15:15" x14ac:dyDescent="0.2">
      <c r="O224" s="50"/>
    </row>
    <row r="225" spans="15:15" x14ac:dyDescent="0.2">
      <c r="O225" s="50"/>
    </row>
    <row r="226" spans="15:15" x14ac:dyDescent="0.2">
      <c r="O226" s="50"/>
    </row>
    <row r="227" spans="15:15" x14ac:dyDescent="0.2">
      <c r="O227" s="50"/>
    </row>
    <row r="228" spans="15:15" x14ac:dyDescent="0.2">
      <c r="O228" s="50"/>
    </row>
    <row r="229" spans="15:15" x14ac:dyDescent="0.2">
      <c r="O229" s="50"/>
    </row>
    <row r="230" spans="15:15" x14ac:dyDescent="0.2">
      <c r="O230" s="50"/>
    </row>
    <row r="231" spans="15:15" x14ac:dyDescent="0.2">
      <c r="O231" s="50"/>
    </row>
    <row r="232" spans="15:15" x14ac:dyDescent="0.2">
      <c r="O232" s="50"/>
    </row>
    <row r="233" spans="15:15" x14ac:dyDescent="0.2">
      <c r="O233" s="50"/>
    </row>
    <row r="234" spans="15:15" x14ac:dyDescent="0.2">
      <c r="O234" s="50"/>
    </row>
    <row r="235" spans="15:15" x14ac:dyDescent="0.2">
      <c r="O235" s="50"/>
    </row>
    <row r="236" spans="15:15" x14ac:dyDescent="0.2">
      <c r="O236" s="50"/>
    </row>
    <row r="237" spans="15:15" x14ac:dyDescent="0.2">
      <c r="O237" s="50"/>
    </row>
    <row r="238" spans="15:15" x14ac:dyDescent="0.2">
      <c r="O238" s="50"/>
    </row>
    <row r="239" spans="15:15" x14ac:dyDescent="0.2">
      <c r="O239" s="50"/>
    </row>
    <row r="240" spans="15:15" x14ac:dyDescent="0.2">
      <c r="O240" s="50"/>
    </row>
    <row r="241" spans="15:15" x14ac:dyDescent="0.2">
      <c r="O241" s="50"/>
    </row>
    <row r="242" spans="15:15" x14ac:dyDescent="0.2">
      <c r="O242" s="50"/>
    </row>
    <row r="243" spans="15:15" x14ac:dyDescent="0.2">
      <c r="O243" s="50"/>
    </row>
    <row r="244" spans="15:15" x14ac:dyDescent="0.2">
      <c r="O244" s="50"/>
    </row>
    <row r="245" spans="15:15" x14ac:dyDescent="0.2">
      <c r="O245" s="50"/>
    </row>
    <row r="246" spans="15:15" x14ac:dyDescent="0.2">
      <c r="O246" s="50"/>
    </row>
    <row r="247" spans="15:15" x14ac:dyDescent="0.2">
      <c r="O247" s="50"/>
    </row>
    <row r="248" spans="15:15" x14ac:dyDescent="0.2">
      <c r="O248" s="50"/>
    </row>
    <row r="249" spans="15:15" x14ac:dyDescent="0.2">
      <c r="O249" s="50"/>
    </row>
    <row r="250" spans="15:15" x14ac:dyDescent="0.2">
      <c r="O250" s="50"/>
    </row>
    <row r="251" spans="15:15" x14ac:dyDescent="0.2">
      <c r="O251" s="50"/>
    </row>
    <row r="252" spans="15:15" x14ac:dyDescent="0.2">
      <c r="O252" s="50"/>
    </row>
    <row r="253" spans="15:15" x14ac:dyDescent="0.2">
      <c r="O253" s="50"/>
    </row>
    <row r="254" spans="15:15" x14ac:dyDescent="0.2">
      <c r="O254" s="50"/>
    </row>
    <row r="255" spans="15:15" x14ac:dyDescent="0.2">
      <c r="O255" s="50"/>
    </row>
    <row r="256" spans="15:15" x14ac:dyDescent="0.2">
      <c r="O256" s="50"/>
    </row>
    <row r="257" spans="15:15" x14ac:dyDescent="0.2">
      <c r="O257" s="50"/>
    </row>
    <row r="258" spans="15:15" x14ac:dyDescent="0.2">
      <c r="O258" s="50"/>
    </row>
    <row r="259" spans="15:15" x14ac:dyDescent="0.2">
      <c r="O259" s="50"/>
    </row>
    <row r="260" spans="15:15" x14ac:dyDescent="0.2">
      <c r="O260" s="50"/>
    </row>
    <row r="261" spans="15:15" x14ac:dyDescent="0.2">
      <c r="O261" s="50"/>
    </row>
    <row r="262" spans="15:15" x14ac:dyDescent="0.2">
      <c r="O262" s="50"/>
    </row>
    <row r="263" spans="15:15" x14ac:dyDescent="0.2">
      <c r="O263" s="50"/>
    </row>
    <row r="264" spans="15:15" x14ac:dyDescent="0.2">
      <c r="O264" s="50"/>
    </row>
    <row r="265" spans="15:15" x14ac:dyDescent="0.2">
      <c r="O265" s="50"/>
    </row>
    <row r="266" spans="15:15" x14ac:dyDescent="0.2">
      <c r="O266" s="50"/>
    </row>
    <row r="267" spans="15:15" x14ac:dyDescent="0.2">
      <c r="O267" s="50"/>
    </row>
    <row r="268" spans="15:15" x14ac:dyDescent="0.2">
      <c r="O268" s="50"/>
    </row>
    <row r="269" spans="15:15" x14ac:dyDescent="0.2">
      <c r="O269" s="50"/>
    </row>
    <row r="270" spans="15:15" x14ac:dyDescent="0.2">
      <c r="O270" s="50"/>
    </row>
    <row r="271" spans="15:15" x14ac:dyDescent="0.2">
      <c r="O271" s="50"/>
    </row>
    <row r="272" spans="15:15" x14ac:dyDescent="0.2">
      <c r="O272" s="50"/>
    </row>
    <row r="273" spans="15:15" x14ac:dyDescent="0.2">
      <c r="O273" s="50"/>
    </row>
    <row r="274" spans="15:15" x14ac:dyDescent="0.2">
      <c r="O274" s="50"/>
    </row>
    <row r="275" spans="15:15" x14ac:dyDescent="0.2">
      <c r="O275" s="50"/>
    </row>
    <row r="276" spans="15:15" x14ac:dyDescent="0.2">
      <c r="O276" s="50"/>
    </row>
    <row r="277" spans="15:15" x14ac:dyDescent="0.2">
      <c r="O277" s="50"/>
    </row>
    <row r="278" spans="15:15" x14ac:dyDescent="0.2">
      <c r="O278" s="50"/>
    </row>
    <row r="279" spans="15:15" x14ac:dyDescent="0.2">
      <c r="O279" s="50"/>
    </row>
    <row r="280" spans="15:15" x14ac:dyDescent="0.2">
      <c r="O280" s="50"/>
    </row>
    <row r="281" spans="15:15" x14ac:dyDescent="0.2">
      <c r="O281" s="50"/>
    </row>
    <row r="282" spans="15:15" x14ac:dyDescent="0.2">
      <c r="O282" s="50"/>
    </row>
    <row r="283" spans="15:15" x14ac:dyDescent="0.2">
      <c r="O283" s="50"/>
    </row>
    <row r="284" spans="15:15" x14ac:dyDescent="0.2">
      <c r="O284" s="50"/>
    </row>
    <row r="285" spans="15:15" x14ac:dyDescent="0.2">
      <c r="O285" s="50"/>
    </row>
    <row r="286" spans="15:15" x14ac:dyDescent="0.2">
      <c r="O286" s="50"/>
    </row>
    <row r="287" spans="15:15" x14ac:dyDescent="0.2">
      <c r="O287" s="50"/>
    </row>
    <row r="288" spans="15:15" x14ac:dyDescent="0.2">
      <c r="O288" s="50"/>
    </row>
    <row r="289" spans="15:15" x14ac:dyDescent="0.2">
      <c r="O289" s="50"/>
    </row>
    <row r="290" spans="15:15" x14ac:dyDescent="0.2">
      <c r="O290" s="50"/>
    </row>
    <row r="291" spans="15:15" x14ac:dyDescent="0.2">
      <c r="O291" s="50"/>
    </row>
    <row r="292" spans="15:15" x14ac:dyDescent="0.2">
      <c r="O292" s="50"/>
    </row>
    <row r="293" spans="15:15" x14ac:dyDescent="0.2">
      <c r="O293" s="50"/>
    </row>
    <row r="294" spans="15:15" x14ac:dyDescent="0.2">
      <c r="O294" s="50"/>
    </row>
    <row r="295" spans="15:15" x14ac:dyDescent="0.2">
      <c r="O295" s="50"/>
    </row>
    <row r="296" spans="15:15" x14ac:dyDescent="0.2">
      <c r="O296" s="50"/>
    </row>
    <row r="297" spans="15:15" x14ac:dyDescent="0.2">
      <c r="O297" s="50"/>
    </row>
    <row r="298" spans="15:15" x14ac:dyDescent="0.2">
      <c r="O298" s="50"/>
    </row>
    <row r="299" spans="15:15" x14ac:dyDescent="0.2">
      <c r="O299" s="50"/>
    </row>
    <row r="300" spans="15:15" x14ac:dyDescent="0.2">
      <c r="O300" s="50"/>
    </row>
    <row r="301" spans="15:15" x14ac:dyDescent="0.2">
      <c r="O301" s="50"/>
    </row>
    <row r="302" spans="15:15" x14ac:dyDescent="0.2">
      <c r="O302" s="50"/>
    </row>
    <row r="303" spans="15:15" x14ac:dyDescent="0.2">
      <c r="O303" s="50"/>
    </row>
    <row r="304" spans="15:15" x14ac:dyDescent="0.2">
      <c r="O304" s="50"/>
    </row>
    <row r="305" spans="15:15" x14ac:dyDescent="0.2">
      <c r="O305" s="50"/>
    </row>
    <row r="306" spans="15:15" x14ac:dyDescent="0.2">
      <c r="O306" s="50"/>
    </row>
    <row r="307" spans="15:15" x14ac:dyDescent="0.2">
      <c r="O307" s="50"/>
    </row>
    <row r="308" spans="15:15" x14ac:dyDescent="0.2">
      <c r="O308" s="50"/>
    </row>
    <row r="309" spans="15:15" x14ac:dyDescent="0.2">
      <c r="O309" s="50"/>
    </row>
    <row r="310" spans="15:15" x14ac:dyDescent="0.2">
      <c r="O310" s="50"/>
    </row>
    <row r="311" spans="15:15" x14ac:dyDescent="0.2">
      <c r="O311" s="50"/>
    </row>
    <row r="312" spans="15:15" x14ac:dyDescent="0.2">
      <c r="O312" s="50"/>
    </row>
    <row r="313" spans="15:15" x14ac:dyDescent="0.2">
      <c r="O313" s="50"/>
    </row>
    <row r="314" spans="15:15" x14ac:dyDescent="0.2">
      <c r="O314" s="50"/>
    </row>
    <row r="315" spans="15:15" x14ac:dyDescent="0.2">
      <c r="O315" s="50"/>
    </row>
    <row r="316" spans="15:15" x14ac:dyDescent="0.2">
      <c r="O316" s="50"/>
    </row>
    <row r="317" spans="15:15" x14ac:dyDescent="0.2">
      <c r="O317" s="50"/>
    </row>
    <row r="318" spans="15:15" x14ac:dyDescent="0.2">
      <c r="O318" s="50"/>
    </row>
    <row r="319" spans="15:15" x14ac:dyDescent="0.2">
      <c r="O319" s="50"/>
    </row>
    <row r="320" spans="15:15" x14ac:dyDescent="0.2">
      <c r="O320" s="50"/>
    </row>
    <row r="321" spans="15:15" x14ac:dyDescent="0.2">
      <c r="O321" s="50"/>
    </row>
    <row r="322" spans="15:15" x14ac:dyDescent="0.2">
      <c r="O322" s="50"/>
    </row>
    <row r="323" spans="15:15" x14ac:dyDescent="0.2">
      <c r="O323" s="50"/>
    </row>
    <row r="324" spans="15:15" x14ac:dyDescent="0.2">
      <c r="O324" s="50"/>
    </row>
    <row r="325" spans="15:15" x14ac:dyDescent="0.2">
      <c r="O325" s="50"/>
    </row>
    <row r="326" spans="15:15" x14ac:dyDescent="0.2">
      <c r="O326" s="50"/>
    </row>
    <row r="327" spans="15:15" x14ac:dyDescent="0.2">
      <c r="O327" s="50"/>
    </row>
    <row r="328" spans="15:15" x14ac:dyDescent="0.2">
      <c r="O328" s="50"/>
    </row>
    <row r="329" spans="15:15" x14ac:dyDescent="0.2">
      <c r="O329" s="50"/>
    </row>
    <row r="330" spans="15:15" x14ac:dyDescent="0.2">
      <c r="O330" s="50"/>
    </row>
    <row r="331" spans="15:15" x14ac:dyDescent="0.2">
      <c r="O331" s="50"/>
    </row>
    <row r="332" spans="15:15" x14ac:dyDescent="0.2">
      <c r="O332" s="50"/>
    </row>
    <row r="333" spans="15:15" x14ac:dyDescent="0.2">
      <c r="O333" s="50"/>
    </row>
    <row r="334" spans="15:15" x14ac:dyDescent="0.2">
      <c r="O334" s="50"/>
    </row>
    <row r="335" spans="15:15" x14ac:dyDescent="0.2">
      <c r="O335" s="50"/>
    </row>
    <row r="336" spans="15:15" x14ac:dyDescent="0.2">
      <c r="O336" s="50"/>
    </row>
    <row r="337" spans="15:15" x14ac:dyDescent="0.2">
      <c r="O337" s="50"/>
    </row>
    <row r="338" spans="15:15" x14ac:dyDescent="0.2">
      <c r="O338" s="50"/>
    </row>
    <row r="339" spans="15:15" x14ac:dyDescent="0.2">
      <c r="O339" s="50"/>
    </row>
    <row r="340" spans="15:15" x14ac:dyDescent="0.2">
      <c r="O340" s="50"/>
    </row>
    <row r="341" spans="15:15" x14ac:dyDescent="0.2">
      <c r="O341" s="50"/>
    </row>
    <row r="342" spans="15:15" x14ac:dyDescent="0.2">
      <c r="O342" s="50"/>
    </row>
    <row r="343" spans="15:15" x14ac:dyDescent="0.2">
      <c r="O343" s="50"/>
    </row>
    <row r="344" spans="15:15" x14ac:dyDescent="0.2">
      <c r="O344" s="50"/>
    </row>
    <row r="345" spans="15:15" x14ac:dyDescent="0.2">
      <c r="O345" s="50"/>
    </row>
    <row r="346" spans="15:15" x14ac:dyDescent="0.2">
      <c r="O346" s="50"/>
    </row>
    <row r="347" spans="15:15" x14ac:dyDescent="0.2">
      <c r="O347" s="50"/>
    </row>
    <row r="348" spans="15:15" x14ac:dyDescent="0.2">
      <c r="O348" s="50"/>
    </row>
    <row r="349" spans="15:15" x14ac:dyDescent="0.2">
      <c r="O349" s="50"/>
    </row>
    <row r="350" spans="15:15" x14ac:dyDescent="0.2">
      <c r="O350" s="50"/>
    </row>
    <row r="351" spans="15:15" x14ac:dyDescent="0.2">
      <c r="O351" s="50"/>
    </row>
    <row r="352" spans="15:15" x14ac:dyDescent="0.2">
      <c r="O352" s="50"/>
    </row>
    <row r="353" spans="15:15" x14ac:dyDescent="0.2">
      <c r="O353" s="50"/>
    </row>
    <row r="354" spans="15:15" x14ac:dyDescent="0.2">
      <c r="O354" s="50"/>
    </row>
    <row r="355" spans="15:15" x14ac:dyDescent="0.2">
      <c r="O355" s="50"/>
    </row>
    <row r="356" spans="15:15" x14ac:dyDescent="0.2">
      <c r="O356" s="50"/>
    </row>
    <row r="357" spans="15:15" x14ac:dyDescent="0.2">
      <c r="O357" s="50"/>
    </row>
    <row r="358" spans="15:15" x14ac:dyDescent="0.2">
      <c r="O358" s="50"/>
    </row>
    <row r="359" spans="15:15" x14ac:dyDescent="0.2">
      <c r="O359" s="50"/>
    </row>
    <row r="360" spans="15:15" x14ac:dyDescent="0.2">
      <c r="O360" s="50"/>
    </row>
    <row r="361" spans="15:15" x14ac:dyDescent="0.2">
      <c r="O361" s="50"/>
    </row>
    <row r="362" spans="15:15" x14ac:dyDescent="0.2">
      <c r="O362" s="50"/>
    </row>
    <row r="363" spans="15:15" x14ac:dyDescent="0.2">
      <c r="O363" s="50"/>
    </row>
    <row r="364" spans="15:15" x14ac:dyDescent="0.2">
      <c r="O364" s="50"/>
    </row>
    <row r="365" spans="15:15" x14ac:dyDescent="0.2">
      <c r="O365" s="50"/>
    </row>
    <row r="366" spans="15:15" x14ac:dyDescent="0.2">
      <c r="O366" s="50"/>
    </row>
    <row r="367" spans="15:15" x14ac:dyDescent="0.2">
      <c r="O367" s="50"/>
    </row>
    <row r="368" spans="15:15" x14ac:dyDescent="0.2">
      <c r="O368" s="50"/>
    </row>
    <row r="369" spans="15:15" x14ac:dyDescent="0.2">
      <c r="O369" s="50"/>
    </row>
    <row r="370" spans="15:15" x14ac:dyDescent="0.2">
      <c r="O370" s="50"/>
    </row>
    <row r="371" spans="15:15" x14ac:dyDescent="0.2">
      <c r="O371" s="50"/>
    </row>
    <row r="372" spans="15:15" x14ac:dyDescent="0.2">
      <c r="O372" s="50"/>
    </row>
    <row r="373" spans="15:15" x14ac:dyDescent="0.2">
      <c r="O373" s="50"/>
    </row>
    <row r="374" spans="15:15" x14ac:dyDescent="0.2">
      <c r="O374" s="50"/>
    </row>
    <row r="375" spans="15:15" x14ac:dyDescent="0.2">
      <c r="O375" s="50"/>
    </row>
    <row r="376" spans="15:15" x14ac:dyDescent="0.2">
      <c r="O376" s="50"/>
    </row>
    <row r="377" spans="15:15" x14ac:dyDescent="0.2">
      <c r="O377" s="50"/>
    </row>
    <row r="378" spans="15:15" x14ac:dyDescent="0.2">
      <c r="O378" s="50"/>
    </row>
    <row r="379" spans="15:15" x14ac:dyDescent="0.2">
      <c r="O379" s="50"/>
    </row>
    <row r="380" spans="15:15" x14ac:dyDescent="0.2">
      <c r="O380" s="50"/>
    </row>
    <row r="381" spans="15:15" x14ac:dyDescent="0.2">
      <c r="O381" s="50"/>
    </row>
    <row r="382" spans="15:15" x14ac:dyDescent="0.2">
      <c r="O382" s="50"/>
    </row>
    <row r="383" spans="15:15" x14ac:dyDescent="0.2">
      <c r="O383" s="50"/>
    </row>
    <row r="384" spans="15:15" x14ac:dyDescent="0.2">
      <c r="O384" s="50"/>
    </row>
    <row r="385" spans="15:15" x14ac:dyDescent="0.2">
      <c r="O385" s="50"/>
    </row>
    <row r="386" spans="15:15" x14ac:dyDescent="0.2">
      <c r="O386" s="50"/>
    </row>
    <row r="387" spans="15:15" x14ac:dyDescent="0.2">
      <c r="O387" s="50"/>
    </row>
    <row r="388" spans="15:15" x14ac:dyDescent="0.2">
      <c r="O388" s="50"/>
    </row>
    <row r="389" spans="15:15" x14ac:dyDescent="0.2">
      <c r="O389" s="50"/>
    </row>
    <row r="390" spans="15:15" x14ac:dyDescent="0.2">
      <c r="O390" s="50"/>
    </row>
    <row r="391" spans="15:15" x14ac:dyDescent="0.2">
      <c r="O391" s="50"/>
    </row>
    <row r="392" spans="15:15" x14ac:dyDescent="0.2">
      <c r="O392" s="50"/>
    </row>
    <row r="393" spans="15:15" x14ac:dyDescent="0.2">
      <c r="O393" s="50"/>
    </row>
    <row r="394" spans="15:15" x14ac:dyDescent="0.2">
      <c r="O394" s="50"/>
    </row>
    <row r="395" spans="15:15" x14ac:dyDescent="0.2">
      <c r="O395" s="50"/>
    </row>
    <row r="396" spans="15:15" x14ac:dyDescent="0.2">
      <c r="O396" s="50"/>
    </row>
    <row r="397" spans="15:15" x14ac:dyDescent="0.2">
      <c r="O397" s="50"/>
    </row>
    <row r="398" spans="15:15" x14ac:dyDescent="0.2">
      <c r="O398" s="50"/>
    </row>
    <row r="399" spans="15:15" x14ac:dyDescent="0.2">
      <c r="O399" s="50"/>
    </row>
    <row r="400" spans="15:15" x14ac:dyDescent="0.2">
      <c r="O400" s="50"/>
    </row>
    <row r="401" spans="15:15" x14ac:dyDescent="0.2">
      <c r="O401" s="50"/>
    </row>
    <row r="402" spans="15:15" x14ac:dyDescent="0.2">
      <c r="O402" s="50"/>
    </row>
    <row r="403" spans="15:15" x14ac:dyDescent="0.2">
      <c r="O403" s="50"/>
    </row>
    <row r="404" spans="15:15" x14ac:dyDescent="0.2">
      <c r="O404" s="50"/>
    </row>
    <row r="405" spans="15:15" x14ac:dyDescent="0.2">
      <c r="O405" s="50"/>
    </row>
    <row r="406" spans="15:15" x14ac:dyDescent="0.2">
      <c r="O406" s="50"/>
    </row>
    <row r="407" spans="15:15" x14ac:dyDescent="0.2">
      <c r="O407" s="50"/>
    </row>
    <row r="408" spans="15:15" x14ac:dyDescent="0.2">
      <c r="O408" s="50"/>
    </row>
    <row r="409" spans="15:15" x14ac:dyDescent="0.2">
      <c r="O409" s="50"/>
    </row>
    <row r="410" spans="15:15" x14ac:dyDescent="0.2">
      <c r="O410" s="50"/>
    </row>
    <row r="411" spans="15:15" x14ac:dyDescent="0.2">
      <c r="O411" s="50"/>
    </row>
    <row r="412" spans="15:15" x14ac:dyDescent="0.2">
      <c r="O412" s="50"/>
    </row>
    <row r="413" spans="15:15" x14ac:dyDescent="0.2">
      <c r="O413" s="50"/>
    </row>
    <row r="414" spans="15:15" x14ac:dyDescent="0.2">
      <c r="O414" s="50"/>
    </row>
    <row r="415" spans="15:15" x14ac:dyDescent="0.2">
      <c r="O415" s="50"/>
    </row>
    <row r="416" spans="15:15" x14ac:dyDescent="0.2">
      <c r="O416" s="50"/>
    </row>
    <row r="417" spans="15:15" x14ac:dyDescent="0.2">
      <c r="O417" s="50"/>
    </row>
    <row r="418" spans="15:15" x14ac:dyDescent="0.2">
      <c r="O418" s="50"/>
    </row>
    <row r="419" spans="15:15" x14ac:dyDescent="0.2">
      <c r="O419" s="50"/>
    </row>
    <row r="420" spans="15:15" x14ac:dyDescent="0.2">
      <c r="O420" s="50"/>
    </row>
    <row r="421" spans="15:15" x14ac:dyDescent="0.2">
      <c r="O421" s="50"/>
    </row>
    <row r="422" spans="15:15" x14ac:dyDescent="0.2">
      <c r="O422" s="50"/>
    </row>
    <row r="423" spans="15:15" x14ac:dyDescent="0.2">
      <c r="O423" s="50"/>
    </row>
    <row r="424" spans="15:15" x14ac:dyDescent="0.2">
      <c r="O424" s="50"/>
    </row>
    <row r="425" spans="15:15" x14ac:dyDescent="0.2">
      <c r="O425" s="50"/>
    </row>
    <row r="426" spans="15:15" x14ac:dyDescent="0.2">
      <c r="O426" s="50"/>
    </row>
    <row r="427" spans="15:15" x14ac:dyDescent="0.2">
      <c r="O427" s="50"/>
    </row>
    <row r="428" spans="15:15" x14ac:dyDescent="0.2">
      <c r="O428" s="50"/>
    </row>
    <row r="429" spans="15:15" x14ac:dyDescent="0.2">
      <c r="O429" s="50"/>
    </row>
    <row r="430" spans="15:15" x14ac:dyDescent="0.2">
      <c r="O430" s="50"/>
    </row>
    <row r="431" spans="15:15" x14ac:dyDescent="0.2">
      <c r="O431" s="50"/>
    </row>
    <row r="432" spans="15:15" x14ac:dyDescent="0.2">
      <c r="O432" s="50"/>
    </row>
    <row r="433" spans="15:15" x14ac:dyDescent="0.2">
      <c r="O433" s="50"/>
    </row>
    <row r="434" spans="15:15" x14ac:dyDescent="0.2">
      <c r="O434" s="50"/>
    </row>
    <row r="435" spans="15:15" x14ac:dyDescent="0.2">
      <c r="O435" s="50"/>
    </row>
    <row r="436" spans="15:15" x14ac:dyDescent="0.2">
      <c r="O436" s="50"/>
    </row>
    <row r="437" spans="15:15" x14ac:dyDescent="0.2">
      <c r="O437" s="50"/>
    </row>
    <row r="438" spans="15:15" x14ac:dyDescent="0.2">
      <c r="O438" s="50"/>
    </row>
    <row r="439" spans="15:15" x14ac:dyDescent="0.2">
      <c r="O439" s="50"/>
    </row>
    <row r="440" spans="15:15" x14ac:dyDescent="0.2">
      <c r="O440" s="50"/>
    </row>
    <row r="441" spans="15:15" x14ac:dyDescent="0.2">
      <c r="O441" s="50"/>
    </row>
    <row r="442" spans="15:15" x14ac:dyDescent="0.2">
      <c r="O442" s="50"/>
    </row>
    <row r="443" spans="15:15" x14ac:dyDescent="0.2">
      <c r="O443" s="50"/>
    </row>
    <row r="444" spans="15:15" x14ac:dyDescent="0.2">
      <c r="O444" s="50"/>
    </row>
    <row r="445" spans="15:15" x14ac:dyDescent="0.2">
      <c r="O445" s="50"/>
    </row>
    <row r="446" spans="15:15" x14ac:dyDescent="0.2">
      <c r="O446" s="50"/>
    </row>
    <row r="447" spans="15:15" x14ac:dyDescent="0.2">
      <c r="O447" s="50"/>
    </row>
    <row r="448" spans="15:15" x14ac:dyDescent="0.2">
      <c r="O448" s="50"/>
    </row>
    <row r="449" spans="15:15" x14ac:dyDescent="0.2">
      <c r="O449" s="50"/>
    </row>
    <row r="450" spans="15:15" x14ac:dyDescent="0.2">
      <c r="O450" s="50"/>
    </row>
    <row r="451" spans="15:15" x14ac:dyDescent="0.2">
      <c r="O451" s="50"/>
    </row>
    <row r="452" spans="15:15" x14ac:dyDescent="0.2">
      <c r="O452" s="50"/>
    </row>
    <row r="453" spans="15:15" x14ac:dyDescent="0.2">
      <c r="O453" s="50"/>
    </row>
    <row r="454" spans="15:15" x14ac:dyDescent="0.2">
      <c r="O454" s="50"/>
    </row>
    <row r="455" spans="15:15" x14ac:dyDescent="0.2">
      <c r="O455" s="50"/>
    </row>
    <row r="456" spans="15:15" x14ac:dyDescent="0.2">
      <c r="O456" s="50"/>
    </row>
    <row r="457" spans="15:15" x14ac:dyDescent="0.2">
      <c r="O457" s="50"/>
    </row>
    <row r="458" spans="15:15" x14ac:dyDescent="0.2">
      <c r="O458" s="50"/>
    </row>
    <row r="459" spans="15:15" x14ac:dyDescent="0.2">
      <c r="O459" s="50"/>
    </row>
    <row r="460" spans="15:15" x14ac:dyDescent="0.2">
      <c r="O460" s="50"/>
    </row>
    <row r="461" spans="15:15" x14ac:dyDescent="0.2">
      <c r="O461" s="50"/>
    </row>
    <row r="462" spans="15:15" x14ac:dyDescent="0.2">
      <c r="O462" s="50"/>
    </row>
    <row r="463" spans="15:15" x14ac:dyDescent="0.2">
      <c r="O463" s="50"/>
    </row>
    <row r="464" spans="15:15" x14ac:dyDescent="0.2">
      <c r="O464" s="50"/>
    </row>
    <row r="465" spans="15:15" x14ac:dyDescent="0.2">
      <c r="O465" s="50"/>
    </row>
    <row r="466" spans="15:15" x14ac:dyDescent="0.2">
      <c r="O466" s="50"/>
    </row>
    <row r="467" spans="15:15" x14ac:dyDescent="0.2">
      <c r="O467" s="50"/>
    </row>
    <row r="468" spans="15:15" x14ac:dyDescent="0.2">
      <c r="O468" s="50"/>
    </row>
    <row r="469" spans="15:15" x14ac:dyDescent="0.2">
      <c r="O469" s="50"/>
    </row>
    <row r="470" spans="15:15" x14ac:dyDescent="0.2">
      <c r="O470" s="50"/>
    </row>
    <row r="471" spans="15:15" x14ac:dyDescent="0.2">
      <c r="O471" s="50"/>
    </row>
    <row r="472" spans="15:15" x14ac:dyDescent="0.2">
      <c r="O472" s="50"/>
    </row>
    <row r="473" spans="15:15" x14ac:dyDescent="0.2">
      <c r="O473" s="50"/>
    </row>
    <row r="474" spans="15:15" x14ac:dyDescent="0.2">
      <c r="O474" s="50"/>
    </row>
    <row r="475" spans="15:15" x14ac:dyDescent="0.2">
      <c r="O475" s="50"/>
    </row>
    <row r="476" spans="15:15" x14ac:dyDescent="0.2">
      <c r="O476" s="50"/>
    </row>
    <row r="477" spans="15:15" x14ac:dyDescent="0.2">
      <c r="O477" s="50"/>
    </row>
    <row r="478" spans="15:15" x14ac:dyDescent="0.2">
      <c r="O478" s="50"/>
    </row>
    <row r="479" spans="15:15" x14ac:dyDescent="0.2">
      <c r="O479" s="50"/>
    </row>
    <row r="480" spans="15:15" x14ac:dyDescent="0.2">
      <c r="O480" s="50"/>
    </row>
    <row r="481" spans="15:15" x14ac:dyDescent="0.2">
      <c r="O481" s="50"/>
    </row>
    <row r="482" spans="15:15" x14ac:dyDescent="0.2">
      <c r="O482" s="50"/>
    </row>
    <row r="483" spans="15:15" x14ac:dyDescent="0.2">
      <c r="O483" s="50"/>
    </row>
    <row r="484" spans="15:15" x14ac:dyDescent="0.2">
      <c r="O484" s="50"/>
    </row>
    <row r="485" spans="15:15" x14ac:dyDescent="0.2">
      <c r="O485" s="50"/>
    </row>
    <row r="486" spans="15:15" x14ac:dyDescent="0.2">
      <c r="O486" s="50"/>
    </row>
    <row r="487" spans="15:15" x14ac:dyDescent="0.2">
      <c r="O487" s="50"/>
    </row>
    <row r="488" spans="15:15" x14ac:dyDescent="0.2">
      <c r="O488" s="50"/>
    </row>
    <row r="489" spans="15:15" x14ac:dyDescent="0.2">
      <c r="O489" s="50"/>
    </row>
    <row r="490" spans="15:15" x14ac:dyDescent="0.2">
      <c r="O490" s="50"/>
    </row>
    <row r="491" spans="15:15" x14ac:dyDescent="0.2">
      <c r="O491" s="50"/>
    </row>
    <row r="492" spans="15:15" x14ac:dyDescent="0.2">
      <c r="O492" s="50"/>
    </row>
    <row r="493" spans="15:15" x14ac:dyDescent="0.2">
      <c r="O493" s="50"/>
    </row>
    <row r="494" spans="15:15" x14ac:dyDescent="0.2">
      <c r="O494" s="50"/>
    </row>
    <row r="495" spans="15:15" x14ac:dyDescent="0.2">
      <c r="O495" s="50"/>
    </row>
    <row r="496" spans="15:15" x14ac:dyDescent="0.2">
      <c r="O496" s="50"/>
    </row>
    <row r="497" spans="15:15" x14ac:dyDescent="0.2">
      <c r="O497" s="50"/>
    </row>
    <row r="498" spans="15:15" x14ac:dyDescent="0.2">
      <c r="O498" s="50"/>
    </row>
    <row r="499" spans="15:15" x14ac:dyDescent="0.2">
      <c r="O499" s="50"/>
    </row>
    <row r="500" spans="15:15" x14ac:dyDescent="0.2">
      <c r="O500" s="50"/>
    </row>
    <row r="501" spans="15:15" x14ac:dyDescent="0.2">
      <c r="O501" s="50"/>
    </row>
    <row r="502" spans="15:15" x14ac:dyDescent="0.2">
      <c r="O502" s="50"/>
    </row>
    <row r="503" spans="15:15" x14ac:dyDescent="0.2">
      <c r="O503" s="50"/>
    </row>
    <row r="504" spans="15:15" x14ac:dyDescent="0.2">
      <c r="O504" s="50"/>
    </row>
    <row r="505" spans="15:15" x14ac:dyDescent="0.2">
      <c r="O505" s="50"/>
    </row>
    <row r="506" spans="15:15" x14ac:dyDescent="0.2">
      <c r="O506" s="50"/>
    </row>
    <row r="507" spans="15:15" x14ac:dyDescent="0.2">
      <c r="O507" s="50"/>
    </row>
    <row r="508" spans="15:15" x14ac:dyDescent="0.2">
      <c r="O508" s="50"/>
    </row>
    <row r="509" spans="15:15" x14ac:dyDescent="0.2">
      <c r="O509" s="50"/>
    </row>
    <row r="510" spans="15:15" x14ac:dyDescent="0.2">
      <c r="O510" s="50"/>
    </row>
    <row r="511" spans="15:15" x14ac:dyDescent="0.2">
      <c r="O511" s="50"/>
    </row>
    <row r="512" spans="15:15" x14ac:dyDescent="0.2">
      <c r="O512" s="50"/>
    </row>
    <row r="513" spans="15:15" x14ac:dyDescent="0.2">
      <c r="O513" s="50"/>
    </row>
    <row r="514" spans="15:15" x14ac:dyDescent="0.2">
      <c r="O514" s="50"/>
    </row>
    <row r="515" spans="15:15" x14ac:dyDescent="0.2">
      <c r="O515" s="50"/>
    </row>
    <row r="516" spans="15:15" x14ac:dyDescent="0.2">
      <c r="O516" s="50"/>
    </row>
    <row r="517" spans="15:15" x14ac:dyDescent="0.2">
      <c r="O517" s="50"/>
    </row>
    <row r="518" spans="15:15" x14ac:dyDescent="0.2">
      <c r="O518" s="50"/>
    </row>
    <row r="519" spans="15:15" x14ac:dyDescent="0.2">
      <c r="O519" s="50"/>
    </row>
    <row r="520" spans="15:15" x14ac:dyDescent="0.2">
      <c r="O520" s="50"/>
    </row>
    <row r="521" spans="15:15" x14ac:dyDescent="0.2">
      <c r="O521" s="50"/>
    </row>
    <row r="522" spans="15:15" x14ac:dyDescent="0.2">
      <c r="O522" s="50"/>
    </row>
    <row r="523" spans="15:15" x14ac:dyDescent="0.2">
      <c r="O523" s="50"/>
    </row>
    <row r="524" spans="15:15" x14ac:dyDescent="0.2">
      <c r="O524" s="50"/>
    </row>
    <row r="525" spans="15:15" x14ac:dyDescent="0.2">
      <c r="O525" s="50"/>
    </row>
    <row r="526" spans="15:15" x14ac:dyDescent="0.2">
      <c r="O526" s="50"/>
    </row>
    <row r="527" spans="15:15" x14ac:dyDescent="0.2">
      <c r="O527" s="50"/>
    </row>
    <row r="528" spans="15:15" x14ac:dyDescent="0.2">
      <c r="O528" s="50"/>
    </row>
    <row r="529" spans="15:15" x14ac:dyDescent="0.2">
      <c r="O529" s="50"/>
    </row>
    <row r="530" spans="15:15" x14ac:dyDescent="0.2">
      <c r="O530" s="50"/>
    </row>
    <row r="531" spans="15:15" x14ac:dyDescent="0.2">
      <c r="O531" s="50"/>
    </row>
    <row r="532" spans="15:15" x14ac:dyDescent="0.2">
      <c r="O532" s="50"/>
    </row>
    <row r="533" spans="15:15" x14ac:dyDescent="0.2">
      <c r="O533" s="50"/>
    </row>
    <row r="534" spans="15:15" x14ac:dyDescent="0.2">
      <c r="O534" s="50"/>
    </row>
    <row r="535" spans="15:15" x14ac:dyDescent="0.2">
      <c r="O535" s="50"/>
    </row>
    <row r="536" spans="15:15" x14ac:dyDescent="0.2">
      <c r="O536" s="50"/>
    </row>
    <row r="537" spans="15:15" x14ac:dyDescent="0.2">
      <c r="O537" s="50"/>
    </row>
    <row r="538" spans="15:15" x14ac:dyDescent="0.2">
      <c r="O538" s="50"/>
    </row>
    <row r="539" spans="15:15" x14ac:dyDescent="0.2">
      <c r="O539" s="50"/>
    </row>
    <row r="540" spans="15:15" x14ac:dyDescent="0.2">
      <c r="O540" s="50"/>
    </row>
    <row r="541" spans="15:15" x14ac:dyDescent="0.2">
      <c r="O541" s="50"/>
    </row>
    <row r="542" spans="15:15" x14ac:dyDescent="0.2">
      <c r="O542" s="50"/>
    </row>
    <row r="543" spans="15:15" x14ac:dyDescent="0.2">
      <c r="O543" s="50"/>
    </row>
    <row r="544" spans="15:15" x14ac:dyDescent="0.2">
      <c r="O544" s="50"/>
    </row>
    <row r="545" spans="15:15" x14ac:dyDescent="0.2">
      <c r="O545" s="50"/>
    </row>
    <row r="546" spans="15:15" x14ac:dyDescent="0.2">
      <c r="O546" s="50"/>
    </row>
    <row r="547" spans="15:15" x14ac:dyDescent="0.2">
      <c r="O547" s="50"/>
    </row>
    <row r="548" spans="15:15" x14ac:dyDescent="0.2">
      <c r="O548" s="50"/>
    </row>
    <row r="549" spans="15:15" x14ac:dyDescent="0.2">
      <c r="O549" s="50"/>
    </row>
    <row r="550" spans="15:15" x14ac:dyDescent="0.2">
      <c r="O550" s="50"/>
    </row>
    <row r="551" spans="15:15" x14ac:dyDescent="0.2">
      <c r="O551" s="50"/>
    </row>
    <row r="552" spans="15:15" x14ac:dyDescent="0.2">
      <c r="O552" s="50"/>
    </row>
    <row r="553" spans="15:15" x14ac:dyDescent="0.2">
      <c r="O553" s="50"/>
    </row>
    <row r="554" spans="15:15" x14ac:dyDescent="0.2">
      <c r="O554" s="50"/>
    </row>
    <row r="555" spans="15:15" x14ac:dyDescent="0.2">
      <c r="O555" s="50"/>
    </row>
    <row r="556" spans="15:15" x14ac:dyDescent="0.2">
      <c r="O556" s="50"/>
    </row>
    <row r="557" spans="15:15" x14ac:dyDescent="0.2">
      <c r="O557" s="50"/>
    </row>
    <row r="558" spans="15:15" x14ac:dyDescent="0.2">
      <c r="O558" s="50"/>
    </row>
    <row r="559" spans="15:15" x14ac:dyDescent="0.2">
      <c r="O559" s="50"/>
    </row>
    <row r="560" spans="15:15" x14ac:dyDescent="0.2">
      <c r="O560" s="50"/>
    </row>
    <row r="561" spans="15:15" x14ac:dyDescent="0.2">
      <c r="O561" s="50"/>
    </row>
    <row r="562" spans="15:15" x14ac:dyDescent="0.2">
      <c r="O562" s="50"/>
    </row>
    <row r="563" spans="15:15" x14ac:dyDescent="0.2">
      <c r="O563" s="50"/>
    </row>
    <row r="564" spans="15:15" x14ac:dyDescent="0.2">
      <c r="O564" s="50"/>
    </row>
    <row r="565" spans="15:15" x14ac:dyDescent="0.2">
      <c r="O565" s="50"/>
    </row>
    <row r="566" spans="15:15" x14ac:dyDescent="0.2">
      <c r="O566" s="50"/>
    </row>
    <row r="567" spans="15:15" x14ac:dyDescent="0.2">
      <c r="O567" s="50"/>
    </row>
    <row r="568" spans="15:15" x14ac:dyDescent="0.2">
      <c r="O568" s="50"/>
    </row>
    <row r="569" spans="15:15" x14ac:dyDescent="0.2">
      <c r="O569" s="50"/>
    </row>
    <row r="570" spans="15:15" x14ac:dyDescent="0.2">
      <c r="O570" s="50"/>
    </row>
    <row r="571" spans="15:15" x14ac:dyDescent="0.2">
      <c r="O571" s="50"/>
    </row>
    <row r="572" spans="15:15" x14ac:dyDescent="0.2">
      <c r="O572" s="50"/>
    </row>
    <row r="573" spans="15:15" x14ac:dyDescent="0.2">
      <c r="O573" s="50"/>
    </row>
    <row r="574" spans="15:15" x14ac:dyDescent="0.2">
      <c r="O574" s="50"/>
    </row>
    <row r="575" spans="15:15" x14ac:dyDescent="0.2">
      <c r="O575" s="50"/>
    </row>
    <row r="576" spans="15:15" x14ac:dyDescent="0.2">
      <c r="O576" s="50"/>
    </row>
    <row r="577" spans="15:15" x14ac:dyDescent="0.2">
      <c r="O577" s="50"/>
    </row>
    <row r="578" spans="15:15" x14ac:dyDescent="0.2">
      <c r="O578" s="50"/>
    </row>
    <row r="579" spans="15:15" x14ac:dyDescent="0.2">
      <c r="O579" s="50"/>
    </row>
    <row r="580" spans="15:15" x14ac:dyDescent="0.2">
      <c r="O580" s="50"/>
    </row>
    <row r="581" spans="15:15" x14ac:dyDescent="0.2">
      <c r="O581" s="50"/>
    </row>
    <row r="582" spans="15:15" x14ac:dyDescent="0.2">
      <c r="O582" s="50"/>
    </row>
    <row r="583" spans="15:15" x14ac:dyDescent="0.2">
      <c r="O583" s="50"/>
    </row>
    <row r="584" spans="15:15" x14ac:dyDescent="0.2">
      <c r="O584" s="50"/>
    </row>
    <row r="585" spans="15:15" x14ac:dyDescent="0.2">
      <c r="O585" s="50"/>
    </row>
    <row r="586" spans="15:15" x14ac:dyDescent="0.2">
      <c r="O586" s="50"/>
    </row>
    <row r="587" spans="15:15" x14ac:dyDescent="0.2">
      <c r="O587" s="50"/>
    </row>
    <row r="588" spans="15:15" x14ac:dyDescent="0.2">
      <c r="O588" s="50"/>
    </row>
    <row r="589" spans="15:15" x14ac:dyDescent="0.2">
      <c r="O589" s="50"/>
    </row>
    <row r="590" spans="15:15" x14ac:dyDescent="0.2">
      <c r="O590" s="50"/>
    </row>
    <row r="591" spans="15:15" x14ac:dyDescent="0.2">
      <c r="O591" s="50"/>
    </row>
    <row r="592" spans="15:15" x14ac:dyDescent="0.2">
      <c r="O592" s="50"/>
    </row>
    <row r="593" spans="15:15" x14ac:dyDescent="0.2">
      <c r="O593" s="50"/>
    </row>
    <row r="594" spans="15:15" x14ac:dyDescent="0.2">
      <c r="O594" s="50"/>
    </row>
    <row r="595" spans="15:15" x14ac:dyDescent="0.2">
      <c r="O595" s="50"/>
    </row>
    <row r="596" spans="15:15" x14ac:dyDescent="0.2">
      <c r="O596" s="50"/>
    </row>
    <row r="597" spans="15:15" x14ac:dyDescent="0.2">
      <c r="O597" s="50"/>
    </row>
    <row r="598" spans="15:15" x14ac:dyDescent="0.2">
      <c r="O598" s="50"/>
    </row>
    <row r="599" spans="15:15" x14ac:dyDescent="0.2">
      <c r="O599" s="50"/>
    </row>
    <row r="600" spans="15:15" x14ac:dyDescent="0.2">
      <c r="O600" s="50"/>
    </row>
    <row r="601" spans="15:15" x14ac:dyDescent="0.2">
      <c r="O601" s="50"/>
    </row>
    <row r="602" spans="15:15" x14ac:dyDescent="0.2">
      <c r="O602" s="50"/>
    </row>
    <row r="603" spans="15:15" x14ac:dyDescent="0.2">
      <c r="O603" s="50"/>
    </row>
    <row r="604" spans="15:15" x14ac:dyDescent="0.2">
      <c r="O604" s="50"/>
    </row>
    <row r="605" spans="15:15" x14ac:dyDescent="0.2">
      <c r="O605" s="50"/>
    </row>
    <row r="606" spans="15:15" x14ac:dyDescent="0.2">
      <c r="O606" s="50"/>
    </row>
    <row r="607" spans="15:15" x14ac:dyDescent="0.2">
      <c r="O607" s="50"/>
    </row>
    <row r="608" spans="15:15" x14ac:dyDescent="0.2">
      <c r="O608" s="50"/>
    </row>
    <row r="609" spans="15:15" x14ac:dyDescent="0.2">
      <c r="O609" s="50"/>
    </row>
    <row r="610" spans="15:15" x14ac:dyDescent="0.2">
      <c r="O610" s="50"/>
    </row>
    <row r="611" spans="15:15" x14ac:dyDescent="0.2">
      <c r="O611" s="50"/>
    </row>
    <row r="612" spans="15:15" x14ac:dyDescent="0.2">
      <c r="O612" s="50"/>
    </row>
    <row r="613" spans="15:15" x14ac:dyDescent="0.2">
      <c r="O613" s="50"/>
    </row>
    <row r="614" spans="15:15" x14ac:dyDescent="0.2">
      <c r="O614" s="50"/>
    </row>
    <row r="615" spans="15:15" x14ac:dyDescent="0.2">
      <c r="O615" s="50"/>
    </row>
    <row r="616" spans="15:15" x14ac:dyDescent="0.2">
      <c r="O616" s="50"/>
    </row>
    <row r="617" spans="15:15" x14ac:dyDescent="0.2">
      <c r="O617" s="50"/>
    </row>
    <row r="618" spans="15:15" x14ac:dyDescent="0.2">
      <c r="O618" s="50"/>
    </row>
    <row r="619" spans="15:15" x14ac:dyDescent="0.2">
      <c r="O619" s="50"/>
    </row>
    <row r="620" spans="15:15" x14ac:dyDescent="0.2">
      <c r="O620" s="50"/>
    </row>
    <row r="621" spans="15:15" x14ac:dyDescent="0.2">
      <c r="O621" s="50"/>
    </row>
    <row r="622" spans="15:15" x14ac:dyDescent="0.2">
      <c r="O622" s="50"/>
    </row>
    <row r="623" spans="15:15" x14ac:dyDescent="0.2">
      <c r="O623" s="50"/>
    </row>
    <row r="624" spans="15:15" x14ac:dyDescent="0.2">
      <c r="O624" s="50"/>
    </row>
    <row r="625" spans="15:15" x14ac:dyDescent="0.2">
      <c r="O625" s="50"/>
    </row>
    <row r="626" spans="15:15" x14ac:dyDescent="0.2">
      <c r="O626" s="50"/>
    </row>
    <row r="627" spans="15:15" x14ac:dyDescent="0.2">
      <c r="O627" s="50"/>
    </row>
    <row r="628" spans="15:15" x14ac:dyDescent="0.2">
      <c r="O628" s="50"/>
    </row>
    <row r="629" spans="15:15" x14ac:dyDescent="0.2">
      <c r="O629" s="50"/>
    </row>
    <row r="630" spans="15:15" x14ac:dyDescent="0.2">
      <c r="O630" s="50"/>
    </row>
    <row r="631" spans="15:15" x14ac:dyDescent="0.2">
      <c r="O631" s="50"/>
    </row>
    <row r="632" spans="15:15" x14ac:dyDescent="0.2">
      <c r="O632" s="50"/>
    </row>
    <row r="633" spans="15:15" x14ac:dyDescent="0.2">
      <c r="O633" s="50"/>
    </row>
    <row r="634" spans="15:15" x14ac:dyDescent="0.2">
      <c r="O634" s="50"/>
    </row>
    <row r="635" spans="15:15" x14ac:dyDescent="0.2">
      <c r="O635" s="50"/>
    </row>
    <row r="636" spans="15:15" x14ac:dyDescent="0.2">
      <c r="O636" s="50"/>
    </row>
    <row r="637" spans="15:15" x14ac:dyDescent="0.2">
      <c r="O637" s="50"/>
    </row>
    <row r="638" spans="15:15" x14ac:dyDescent="0.2">
      <c r="O638" s="50"/>
    </row>
    <row r="639" spans="15:15" x14ac:dyDescent="0.2">
      <c r="O639" s="50"/>
    </row>
    <row r="640" spans="15:15" x14ac:dyDescent="0.2">
      <c r="O640" s="50"/>
    </row>
    <row r="641" spans="15:15" x14ac:dyDescent="0.2">
      <c r="O641" s="50"/>
    </row>
    <row r="642" spans="15:15" x14ac:dyDescent="0.2">
      <c r="O642" s="50"/>
    </row>
    <row r="643" spans="15:15" x14ac:dyDescent="0.2">
      <c r="O643" s="50"/>
    </row>
    <row r="644" spans="15:15" x14ac:dyDescent="0.2">
      <c r="O644" s="50"/>
    </row>
    <row r="645" spans="15:15" x14ac:dyDescent="0.2">
      <c r="O645" s="50"/>
    </row>
    <row r="646" spans="15:15" x14ac:dyDescent="0.2">
      <c r="O646" s="50"/>
    </row>
    <row r="647" spans="15:15" x14ac:dyDescent="0.2">
      <c r="O647" s="50"/>
    </row>
    <row r="648" spans="15:15" x14ac:dyDescent="0.2">
      <c r="O648" s="50"/>
    </row>
    <row r="649" spans="15:15" x14ac:dyDescent="0.2">
      <c r="O649" s="50"/>
    </row>
    <row r="650" spans="15:15" x14ac:dyDescent="0.2">
      <c r="O650" s="50"/>
    </row>
    <row r="651" spans="15:15" x14ac:dyDescent="0.2">
      <c r="O651" s="50"/>
    </row>
    <row r="652" spans="15:15" x14ac:dyDescent="0.2">
      <c r="O652" s="50"/>
    </row>
    <row r="653" spans="15:15" x14ac:dyDescent="0.2">
      <c r="O653" s="50"/>
    </row>
    <row r="654" spans="15:15" x14ac:dyDescent="0.2">
      <c r="O654" s="50"/>
    </row>
    <row r="655" spans="15:15" x14ac:dyDescent="0.2">
      <c r="O655" s="50"/>
    </row>
    <row r="656" spans="15:15" x14ac:dyDescent="0.2">
      <c r="O656" s="50"/>
    </row>
    <row r="657" spans="15:15" x14ac:dyDescent="0.2">
      <c r="O657" s="50"/>
    </row>
    <row r="658" spans="15:15" x14ac:dyDescent="0.2">
      <c r="O658" s="50"/>
    </row>
    <row r="659" spans="15:15" x14ac:dyDescent="0.2">
      <c r="O659" s="50"/>
    </row>
    <row r="660" spans="15:15" x14ac:dyDescent="0.2">
      <c r="O660" s="50"/>
    </row>
    <row r="661" spans="15:15" x14ac:dyDescent="0.2">
      <c r="O661" s="50"/>
    </row>
    <row r="662" spans="15:15" x14ac:dyDescent="0.2">
      <c r="O662" s="50"/>
    </row>
    <row r="663" spans="15:15" x14ac:dyDescent="0.2">
      <c r="O663" s="50"/>
    </row>
    <row r="664" spans="15:15" x14ac:dyDescent="0.2">
      <c r="O664" s="50"/>
    </row>
    <row r="665" spans="15:15" x14ac:dyDescent="0.2">
      <c r="O665" s="50"/>
    </row>
    <row r="666" spans="15:15" x14ac:dyDescent="0.2">
      <c r="O666" s="50"/>
    </row>
    <row r="667" spans="15:15" x14ac:dyDescent="0.2">
      <c r="O667" s="50"/>
    </row>
    <row r="668" spans="15:15" x14ac:dyDescent="0.2">
      <c r="O668" s="50"/>
    </row>
    <row r="669" spans="15:15" x14ac:dyDescent="0.2">
      <c r="O669" s="50"/>
    </row>
    <row r="670" spans="15:15" x14ac:dyDescent="0.2">
      <c r="O670" s="50"/>
    </row>
    <row r="671" spans="15:15" x14ac:dyDescent="0.2">
      <c r="O671" s="50"/>
    </row>
    <row r="672" spans="15:15" x14ac:dyDescent="0.2">
      <c r="O672" s="50"/>
    </row>
    <row r="673" spans="15:15" x14ac:dyDescent="0.2">
      <c r="O673" s="50"/>
    </row>
    <row r="674" spans="15:15" x14ac:dyDescent="0.2">
      <c r="O674" s="50"/>
    </row>
    <row r="675" spans="15:15" x14ac:dyDescent="0.2">
      <c r="O675" s="50"/>
    </row>
    <row r="676" spans="15:15" x14ac:dyDescent="0.2">
      <c r="O676" s="50"/>
    </row>
    <row r="677" spans="15:15" x14ac:dyDescent="0.2">
      <c r="O677" s="50"/>
    </row>
    <row r="678" spans="15:15" x14ac:dyDescent="0.2">
      <c r="O678" s="50"/>
    </row>
    <row r="679" spans="15:15" x14ac:dyDescent="0.2">
      <c r="O679" s="50"/>
    </row>
    <row r="680" spans="15:15" x14ac:dyDescent="0.2">
      <c r="O680" s="50"/>
    </row>
    <row r="681" spans="15:15" x14ac:dyDescent="0.2">
      <c r="O681" s="50"/>
    </row>
    <row r="682" spans="15:15" x14ac:dyDescent="0.2">
      <c r="O682" s="50"/>
    </row>
    <row r="683" spans="15:15" x14ac:dyDescent="0.2">
      <c r="O683" s="50"/>
    </row>
    <row r="684" spans="15:15" x14ac:dyDescent="0.2">
      <c r="O684" s="50"/>
    </row>
    <row r="685" spans="15:15" x14ac:dyDescent="0.2">
      <c r="O685" s="50"/>
    </row>
    <row r="686" spans="15:15" x14ac:dyDescent="0.2">
      <c r="O686" s="50"/>
    </row>
    <row r="687" spans="15:15" x14ac:dyDescent="0.2">
      <c r="O687" s="50"/>
    </row>
    <row r="688" spans="15:15" x14ac:dyDescent="0.2">
      <c r="O688" s="50"/>
    </row>
    <row r="689" spans="15:15" x14ac:dyDescent="0.2">
      <c r="O689" s="50"/>
    </row>
    <row r="690" spans="15:15" x14ac:dyDescent="0.2">
      <c r="O690" s="50"/>
    </row>
    <row r="691" spans="15:15" x14ac:dyDescent="0.2">
      <c r="O691" s="50"/>
    </row>
    <row r="692" spans="15:15" x14ac:dyDescent="0.2">
      <c r="O692" s="50"/>
    </row>
    <row r="693" spans="15:15" x14ac:dyDescent="0.2">
      <c r="O693" s="50"/>
    </row>
    <row r="694" spans="15:15" x14ac:dyDescent="0.2">
      <c r="O694" s="50"/>
    </row>
    <row r="695" spans="15:15" x14ac:dyDescent="0.2">
      <c r="O695" s="50"/>
    </row>
    <row r="696" spans="15:15" x14ac:dyDescent="0.2">
      <c r="O696" s="50"/>
    </row>
    <row r="697" spans="15:15" x14ac:dyDescent="0.2">
      <c r="O697" s="50"/>
    </row>
    <row r="698" spans="15:15" x14ac:dyDescent="0.2">
      <c r="O698" s="50"/>
    </row>
    <row r="699" spans="15:15" x14ac:dyDescent="0.2">
      <c r="O699" s="50"/>
    </row>
    <row r="700" spans="15:15" x14ac:dyDescent="0.2">
      <c r="O700" s="50"/>
    </row>
    <row r="701" spans="15:15" x14ac:dyDescent="0.2">
      <c r="O701" s="50"/>
    </row>
    <row r="702" spans="15:15" x14ac:dyDescent="0.2">
      <c r="O702" s="50"/>
    </row>
    <row r="703" spans="15:15" x14ac:dyDescent="0.2">
      <c r="O703" s="50"/>
    </row>
    <row r="704" spans="15:15" x14ac:dyDescent="0.2">
      <c r="O704" s="50"/>
    </row>
    <row r="705" spans="15:15" x14ac:dyDescent="0.2">
      <c r="O705" s="50"/>
    </row>
    <row r="706" spans="15:15" x14ac:dyDescent="0.2">
      <c r="O706" s="50"/>
    </row>
    <row r="707" spans="15:15" x14ac:dyDescent="0.2">
      <c r="O707" s="50"/>
    </row>
    <row r="708" spans="15:15" x14ac:dyDescent="0.2">
      <c r="O708" s="50"/>
    </row>
    <row r="709" spans="15:15" x14ac:dyDescent="0.2">
      <c r="O709" s="50"/>
    </row>
    <row r="710" spans="15:15" x14ac:dyDescent="0.2">
      <c r="O710" s="50"/>
    </row>
    <row r="711" spans="15:15" x14ac:dyDescent="0.2">
      <c r="O711" s="50"/>
    </row>
    <row r="712" spans="15:15" x14ac:dyDescent="0.2">
      <c r="O712" s="50"/>
    </row>
    <row r="713" spans="15:15" x14ac:dyDescent="0.2">
      <c r="O713" s="50"/>
    </row>
    <row r="714" spans="15:15" x14ac:dyDescent="0.2">
      <c r="O714" s="50"/>
    </row>
    <row r="715" spans="15:15" x14ac:dyDescent="0.2">
      <c r="O715" s="50"/>
    </row>
    <row r="716" spans="15:15" x14ac:dyDescent="0.2">
      <c r="O716" s="50"/>
    </row>
    <row r="717" spans="15:15" x14ac:dyDescent="0.2">
      <c r="O717" s="50"/>
    </row>
    <row r="718" spans="15:15" x14ac:dyDescent="0.2">
      <c r="O718" s="50"/>
    </row>
    <row r="719" spans="15:15" x14ac:dyDescent="0.2">
      <c r="O719" s="50"/>
    </row>
    <row r="720" spans="15:15" x14ac:dyDescent="0.2">
      <c r="O720" s="50"/>
    </row>
    <row r="721" spans="15:15" x14ac:dyDescent="0.2">
      <c r="O721" s="50"/>
    </row>
    <row r="722" spans="15:15" x14ac:dyDescent="0.2">
      <c r="O722" s="50"/>
    </row>
    <row r="723" spans="15:15" x14ac:dyDescent="0.2">
      <c r="O723" s="50"/>
    </row>
    <row r="724" spans="15:15" x14ac:dyDescent="0.2">
      <c r="O724" s="50"/>
    </row>
    <row r="725" spans="15:15" x14ac:dyDescent="0.2">
      <c r="O725" s="50"/>
    </row>
    <row r="726" spans="15:15" x14ac:dyDescent="0.2">
      <c r="O726" s="50"/>
    </row>
    <row r="727" spans="15:15" x14ac:dyDescent="0.2">
      <c r="O727" s="50"/>
    </row>
    <row r="728" spans="15:15" x14ac:dyDescent="0.2">
      <c r="O728" s="50"/>
    </row>
    <row r="729" spans="15:15" x14ac:dyDescent="0.2">
      <c r="O729" s="50"/>
    </row>
    <row r="730" spans="15:15" x14ac:dyDescent="0.2">
      <c r="O730" s="50"/>
    </row>
    <row r="731" spans="15:15" x14ac:dyDescent="0.2">
      <c r="O731" s="50"/>
    </row>
    <row r="732" spans="15:15" x14ac:dyDescent="0.2">
      <c r="O732" s="50"/>
    </row>
    <row r="733" spans="15:15" x14ac:dyDescent="0.2">
      <c r="O733" s="50"/>
    </row>
    <row r="734" spans="15:15" x14ac:dyDescent="0.2">
      <c r="O734" s="50"/>
    </row>
    <row r="735" spans="15:15" x14ac:dyDescent="0.2">
      <c r="O735" s="50"/>
    </row>
    <row r="736" spans="15:15" x14ac:dyDescent="0.2">
      <c r="O736" s="50"/>
    </row>
    <row r="737" spans="15:15" x14ac:dyDescent="0.2">
      <c r="O737" s="50"/>
    </row>
    <row r="738" spans="15:15" x14ac:dyDescent="0.2">
      <c r="O738" s="50"/>
    </row>
    <row r="739" spans="15:15" x14ac:dyDescent="0.2">
      <c r="O739" s="50"/>
    </row>
    <row r="740" spans="15:15" x14ac:dyDescent="0.2">
      <c r="O740" s="50"/>
    </row>
    <row r="741" spans="15:15" x14ac:dyDescent="0.2">
      <c r="O741" s="50"/>
    </row>
    <row r="742" spans="15:15" x14ac:dyDescent="0.2">
      <c r="O742" s="50"/>
    </row>
    <row r="743" spans="15:15" x14ac:dyDescent="0.2">
      <c r="O743" s="50"/>
    </row>
    <row r="744" spans="15:15" x14ac:dyDescent="0.2">
      <c r="O744" s="50"/>
    </row>
    <row r="745" spans="15:15" x14ac:dyDescent="0.2">
      <c r="O745" s="50"/>
    </row>
    <row r="746" spans="15:15" x14ac:dyDescent="0.2">
      <c r="O746" s="50"/>
    </row>
    <row r="747" spans="15:15" x14ac:dyDescent="0.2">
      <c r="O747" s="50"/>
    </row>
    <row r="748" spans="15:15" x14ac:dyDescent="0.2">
      <c r="O748" s="50"/>
    </row>
    <row r="749" spans="15:15" x14ac:dyDescent="0.2">
      <c r="O749" s="50"/>
    </row>
    <row r="750" spans="15:15" x14ac:dyDescent="0.2">
      <c r="O750" s="50"/>
    </row>
    <row r="751" spans="15:15" x14ac:dyDescent="0.2">
      <c r="O751" s="50"/>
    </row>
    <row r="752" spans="15:15" x14ac:dyDescent="0.2">
      <c r="O752" s="50"/>
    </row>
    <row r="753" spans="15:15" x14ac:dyDescent="0.2">
      <c r="O753" s="50"/>
    </row>
    <row r="754" spans="15:15" x14ac:dyDescent="0.2">
      <c r="O754" s="50"/>
    </row>
    <row r="755" spans="15:15" x14ac:dyDescent="0.2">
      <c r="O755" s="50"/>
    </row>
    <row r="756" spans="15:15" x14ac:dyDescent="0.2">
      <c r="O756" s="50"/>
    </row>
    <row r="757" spans="15:15" x14ac:dyDescent="0.2">
      <c r="O757" s="50"/>
    </row>
    <row r="758" spans="15:15" x14ac:dyDescent="0.2">
      <c r="O758" s="50"/>
    </row>
    <row r="759" spans="15:15" x14ac:dyDescent="0.2">
      <c r="O759" s="50"/>
    </row>
    <row r="760" spans="15:15" x14ac:dyDescent="0.2">
      <c r="O760" s="50"/>
    </row>
    <row r="761" spans="15:15" x14ac:dyDescent="0.2">
      <c r="O761" s="50"/>
    </row>
    <row r="762" spans="15:15" x14ac:dyDescent="0.2">
      <c r="O762" s="50"/>
    </row>
    <row r="763" spans="15:15" x14ac:dyDescent="0.2">
      <c r="O763" s="50"/>
    </row>
    <row r="764" spans="15:15" x14ac:dyDescent="0.2">
      <c r="O764" s="50"/>
    </row>
    <row r="765" spans="15:15" x14ac:dyDescent="0.2">
      <c r="O765" s="50"/>
    </row>
    <row r="766" spans="15:15" x14ac:dyDescent="0.2">
      <c r="O766" s="50"/>
    </row>
    <row r="767" spans="15:15" x14ac:dyDescent="0.2">
      <c r="O767" s="50"/>
    </row>
    <row r="768" spans="15:15" x14ac:dyDescent="0.2">
      <c r="O768" s="50"/>
    </row>
    <row r="769" spans="15:15" x14ac:dyDescent="0.2">
      <c r="O769" s="50"/>
    </row>
    <row r="770" spans="15:15" x14ac:dyDescent="0.2">
      <c r="O770" s="50"/>
    </row>
    <row r="771" spans="15:15" x14ac:dyDescent="0.2">
      <c r="O771" s="50"/>
    </row>
    <row r="772" spans="15:15" x14ac:dyDescent="0.2">
      <c r="O772" s="50"/>
    </row>
    <row r="773" spans="15:15" x14ac:dyDescent="0.2">
      <c r="O773" s="50"/>
    </row>
    <row r="774" spans="15:15" x14ac:dyDescent="0.2">
      <c r="O774" s="50"/>
    </row>
    <row r="775" spans="15:15" x14ac:dyDescent="0.2">
      <c r="O775" s="50"/>
    </row>
    <row r="776" spans="15:15" x14ac:dyDescent="0.2">
      <c r="O776" s="50"/>
    </row>
    <row r="777" spans="15:15" x14ac:dyDescent="0.2">
      <c r="O777" s="50"/>
    </row>
    <row r="778" spans="15:15" x14ac:dyDescent="0.2">
      <c r="O778" s="50"/>
    </row>
    <row r="779" spans="15:15" x14ac:dyDescent="0.2">
      <c r="O779" s="50"/>
    </row>
    <row r="780" spans="15:15" x14ac:dyDescent="0.2">
      <c r="O780" s="50"/>
    </row>
    <row r="781" spans="15:15" x14ac:dyDescent="0.2">
      <c r="O781" s="50"/>
    </row>
    <row r="782" spans="15:15" x14ac:dyDescent="0.2">
      <c r="O782" s="50"/>
    </row>
    <row r="783" spans="15:15" x14ac:dyDescent="0.2">
      <c r="O783" s="50"/>
    </row>
    <row r="784" spans="15:15" x14ac:dyDescent="0.2">
      <c r="O784" s="50"/>
    </row>
    <row r="785" spans="15:15" x14ac:dyDescent="0.2">
      <c r="O785" s="50"/>
    </row>
    <row r="786" spans="15:15" x14ac:dyDescent="0.2">
      <c r="O786" s="50"/>
    </row>
    <row r="787" spans="15:15" x14ac:dyDescent="0.2">
      <c r="O787" s="50"/>
    </row>
    <row r="788" spans="15:15" x14ac:dyDescent="0.2">
      <c r="O788" s="50"/>
    </row>
    <row r="789" spans="15:15" x14ac:dyDescent="0.2">
      <c r="O789" s="50"/>
    </row>
    <row r="790" spans="15:15" x14ac:dyDescent="0.2">
      <c r="O790" s="50"/>
    </row>
    <row r="791" spans="15:15" x14ac:dyDescent="0.2">
      <c r="O791" s="50"/>
    </row>
    <row r="792" spans="15:15" x14ac:dyDescent="0.2">
      <c r="O792" s="50"/>
    </row>
    <row r="793" spans="15:15" x14ac:dyDescent="0.2">
      <c r="O793" s="50"/>
    </row>
  </sheetData>
  <mergeCells count="19">
    <mergeCell ref="CF2:CQ2"/>
    <mergeCell ref="CF3:CK3"/>
    <mergeCell ref="CL3:CQ3"/>
    <mergeCell ref="Y3:AC3"/>
    <mergeCell ref="AD3:AH3"/>
    <mergeCell ref="BE3:BJ3"/>
    <mergeCell ref="BK3:CD3"/>
    <mergeCell ref="BK2:CD2"/>
    <mergeCell ref="AN3:AS3"/>
    <mergeCell ref="AY3:BD3"/>
    <mergeCell ref="BE2:BJ2"/>
    <mergeCell ref="Y2:AC2"/>
    <mergeCell ref="AD2:AH2"/>
    <mergeCell ref="AI2:AS2"/>
    <mergeCell ref="AT2:BD2"/>
    <mergeCell ref="H3:M3"/>
    <mergeCell ref="U3:X3"/>
    <mergeCell ref="A2:P2"/>
    <mergeCell ref="Q2:X2"/>
  </mergeCells>
  <conditionalFormatting sqref="P4:P63823 N5:N19 O5:O793">
    <cfRule type="cellIs" dxfId="95" priority="60" stopIfTrue="1" operator="lessThan">
      <formula>0</formula>
    </cfRule>
    <cfRule type="cellIs" dxfId="94" priority="61" stopIfTrue="1" operator="greaterThan">
      <formula>1000</formula>
    </cfRule>
    <cfRule type="cellIs" dxfId="93" priority="62" stopIfTrue="1" operator="greaterThan">
      <formula>100</formula>
    </cfRule>
    <cfRule type="cellIs" dxfId="92" priority="63" stopIfTrue="1" operator="greaterThan">
      <formula>10</formula>
    </cfRule>
    <cfRule type="cellIs" dxfId="91" priority="64" stopIfTrue="1" operator="greaterThan">
      <formula>1</formula>
    </cfRule>
    <cfRule type="cellIs" dxfId="90" priority="65" stopIfTrue="1" operator="greaterThan">
      <formula>0.1</formula>
    </cfRule>
    <cfRule type="cellIs" dxfId="89" priority="66" stopIfTrue="1" operator="greaterThan">
      <formula>0.01</formula>
    </cfRule>
    <cfRule type="cellIs" dxfId="88" priority="67" stopIfTrue="1" operator="greaterThan">
      <formula>0.0001</formula>
    </cfRule>
    <cfRule type="cellIs" dxfId="87" priority="68" stopIfTrue="1" operator="lessThanOrEqual">
      <formula>0.0001</formula>
    </cfRule>
  </conditionalFormatting>
  <conditionalFormatting sqref="AD4:AD1048576 AD2">
    <cfRule type="dataBar" priority="50">
      <dataBar>
        <cfvo type="min"/>
        <cfvo type="max"/>
        <color rgb="FF638EC6"/>
      </dataBar>
      <extLst>
        <ext xmlns:x14="http://schemas.microsoft.com/office/spreadsheetml/2009/9/main" uri="{B025F937-C7B1-47D3-B67F-A62EFF666E3E}">
          <x14:id>{BF7584A1-8ED2-479E-AFFB-B12E9FE66ECE}</x14:id>
        </ext>
      </extLst>
    </cfRule>
  </conditionalFormatting>
  <conditionalFormatting sqref="AE5:AE1048576">
    <cfRule type="dataBar" priority="49">
      <dataBar>
        <cfvo type="min"/>
        <cfvo type="max"/>
        <color rgb="FF63C384"/>
      </dataBar>
      <extLst>
        <ext xmlns:x14="http://schemas.microsoft.com/office/spreadsheetml/2009/9/main" uri="{B025F937-C7B1-47D3-B67F-A62EFF666E3E}">
          <x14:id>{6C0BC0F4-A7A5-41AE-9B10-E846193C65D5}</x14:id>
        </ext>
      </extLst>
    </cfRule>
  </conditionalFormatting>
  <conditionalFormatting sqref="AF5:AF1048576">
    <cfRule type="dataBar" priority="48">
      <dataBar>
        <cfvo type="min"/>
        <cfvo type="max"/>
        <color rgb="FFFF555A"/>
      </dataBar>
      <extLst>
        <ext xmlns:x14="http://schemas.microsoft.com/office/spreadsheetml/2009/9/main" uri="{B025F937-C7B1-47D3-B67F-A62EFF666E3E}">
          <x14:id>{6F49811D-F520-41E1-B1C3-40EB726C74AF}</x14:id>
        </ext>
      </extLst>
    </cfRule>
  </conditionalFormatting>
  <conditionalFormatting sqref="AG5:AH1048576">
    <cfRule type="dataBar" priority="47">
      <dataBar>
        <cfvo type="min"/>
        <cfvo type="max"/>
        <color rgb="FFFFB628"/>
      </dataBar>
      <extLst>
        <ext xmlns:x14="http://schemas.microsoft.com/office/spreadsheetml/2009/9/main" uri="{B025F937-C7B1-47D3-B67F-A62EFF666E3E}">
          <x14:id>{7F1DB6DC-B538-454D-88D2-EE42856D4422}</x14:id>
        </ext>
      </extLst>
    </cfRule>
  </conditionalFormatting>
  <conditionalFormatting sqref="AH5:AH1048576">
    <cfRule type="dataBar" priority="46">
      <dataBar>
        <cfvo type="min"/>
        <cfvo type="max"/>
        <color rgb="FF008AEF"/>
      </dataBar>
      <extLst>
        <ext xmlns:x14="http://schemas.microsoft.com/office/spreadsheetml/2009/9/main" uri="{B025F937-C7B1-47D3-B67F-A62EFF666E3E}">
          <x14:id>{DCD1BD6F-7B1C-438F-9A8F-174BA38982DE}</x14:id>
        </ext>
      </extLst>
    </cfRule>
  </conditionalFormatting>
  <conditionalFormatting sqref="BN5:BN1048576">
    <cfRule type="dataBar" priority="45">
      <dataBar>
        <cfvo type="min"/>
        <cfvo type="max"/>
        <color rgb="FF638EC6"/>
      </dataBar>
      <extLst>
        <ext xmlns:x14="http://schemas.microsoft.com/office/spreadsheetml/2009/9/main" uri="{B025F937-C7B1-47D3-B67F-A62EFF666E3E}">
          <x14:id>{A6C46C43-0287-4840-8412-96BB07AA15A2}</x14:id>
        </ext>
      </extLst>
    </cfRule>
  </conditionalFormatting>
  <conditionalFormatting sqref="BR5:BR1048576">
    <cfRule type="dataBar" priority="44">
      <dataBar>
        <cfvo type="min"/>
        <cfvo type="max"/>
        <color rgb="FF63C384"/>
      </dataBar>
      <extLst>
        <ext xmlns:x14="http://schemas.microsoft.com/office/spreadsheetml/2009/9/main" uri="{B025F937-C7B1-47D3-B67F-A62EFF666E3E}">
          <x14:id>{503E25FF-D3A6-4E00-80D5-1C41DD95D9EF}</x14:id>
        </ext>
      </extLst>
    </cfRule>
  </conditionalFormatting>
  <conditionalFormatting sqref="BV5:BV1048576">
    <cfRule type="dataBar" priority="43">
      <dataBar>
        <cfvo type="min"/>
        <cfvo type="max"/>
        <color rgb="FFFF555A"/>
      </dataBar>
      <extLst>
        <ext xmlns:x14="http://schemas.microsoft.com/office/spreadsheetml/2009/9/main" uri="{B025F937-C7B1-47D3-B67F-A62EFF666E3E}">
          <x14:id>{A5DB1FE0-00CD-4EFF-9EB6-F526DF826AB0}</x14:id>
        </ext>
      </extLst>
    </cfRule>
  </conditionalFormatting>
  <conditionalFormatting sqref="BZ5:BZ1048576">
    <cfRule type="dataBar" priority="42">
      <dataBar>
        <cfvo type="min"/>
        <cfvo type="max"/>
        <color rgb="FFFFB628"/>
      </dataBar>
      <extLst>
        <ext xmlns:x14="http://schemas.microsoft.com/office/spreadsheetml/2009/9/main" uri="{B025F937-C7B1-47D3-B67F-A62EFF666E3E}">
          <x14:id>{045CA021-3746-4F52-A1CE-06D625ECAAE7}</x14:id>
        </ext>
      </extLst>
    </cfRule>
  </conditionalFormatting>
  <conditionalFormatting sqref="CD5:CE1048576">
    <cfRule type="dataBar" priority="41">
      <dataBar>
        <cfvo type="min"/>
        <cfvo type="max"/>
        <color rgb="FF008AEF"/>
      </dataBar>
      <extLst>
        <ext xmlns:x14="http://schemas.microsoft.com/office/spreadsheetml/2009/9/main" uri="{B025F937-C7B1-47D3-B67F-A62EFF666E3E}">
          <x14:id>{AF52D11B-ADB3-4279-98B0-3102E6FA7EEB}</x14:id>
        </ext>
      </extLst>
    </cfRule>
  </conditionalFormatting>
  <conditionalFormatting sqref="AE4">
    <cfRule type="dataBar" priority="13">
      <dataBar>
        <cfvo type="min"/>
        <cfvo type="max"/>
        <color rgb="FF638EC6"/>
      </dataBar>
      <extLst>
        <ext xmlns:x14="http://schemas.microsoft.com/office/spreadsheetml/2009/9/main" uri="{B025F937-C7B1-47D3-B67F-A62EFF666E3E}">
          <x14:id>{3C92D3CB-9521-4418-82F1-1E5BC1D7FEA9}</x14:id>
        </ext>
      </extLst>
    </cfRule>
  </conditionalFormatting>
  <conditionalFormatting sqref="AF4">
    <cfRule type="dataBar" priority="12">
      <dataBar>
        <cfvo type="min"/>
        <cfvo type="max"/>
        <color rgb="FF638EC6"/>
      </dataBar>
      <extLst>
        <ext xmlns:x14="http://schemas.microsoft.com/office/spreadsheetml/2009/9/main" uri="{B025F937-C7B1-47D3-B67F-A62EFF666E3E}">
          <x14:id>{E566DDA6-896D-4B4E-AC81-6370A37A5B47}</x14:id>
        </ext>
      </extLst>
    </cfRule>
  </conditionalFormatting>
  <conditionalFormatting sqref="AG4">
    <cfRule type="dataBar" priority="11">
      <dataBar>
        <cfvo type="min"/>
        <cfvo type="max"/>
        <color rgb="FF638EC6"/>
      </dataBar>
      <extLst>
        <ext xmlns:x14="http://schemas.microsoft.com/office/spreadsheetml/2009/9/main" uri="{B025F937-C7B1-47D3-B67F-A62EFF666E3E}">
          <x14:id>{0BF7CC46-1857-470D-9387-A0AA09385759}</x14:id>
        </ext>
      </extLst>
    </cfRule>
  </conditionalFormatting>
  <conditionalFormatting sqref="AH4">
    <cfRule type="dataBar" priority="10">
      <dataBar>
        <cfvo type="min"/>
        <cfvo type="max"/>
        <color rgb="FF638EC6"/>
      </dataBar>
      <extLst>
        <ext xmlns:x14="http://schemas.microsoft.com/office/spreadsheetml/2009/9/main" uri="{B025F937-C7B1-47D3-B67F-A62EFF666E3E}">
          <x14:id>{6E5CBA40-D73C-4E7A-83BA-7C3FAF33EA5E}</x14:id>
        </ext>
      </extLst>
    </cfRule>
  </conditionalFormatting>
  <dataValidations count="2">
    <dataValidation type="list" allowBlank="1" showInputMessage="1" showErrorMessage="1" sqref="AT5:AX19 AI5:AM1048576">
      <formula1>"Very Good,Good,Fair,Poor"</formula1>
    </dataValidation>
    <dataValidation type="list" allowBlank="1" showInputMessage="1" showErrorMessage="1" sqref="G38:G1048576">
      <formula1>$A$35:$A$43</formula1>
    </dataValidation>
  </dataValidations>
  <pageMargins left="0.75" right="0.75" top="1" bottom="1" header="0.5" footer="0.5"/>
  <pageSetup paperSize="9" orientation="portrait" horizontalDpi="4294967293"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F7584A1-8ED2-479E-AFFB-B12E9FE66ECE}">
            <x14:dataBar minLength="0" maxLength="100" border="1" negativeBarBorderColorSameAsPositive="0">
              <x14:cfvo type="autoMin"/>
              <x14:cfvo type="autoMax"/>
              <x14:borderColor rgb="FF638EC6"/>
              <x14:negativeFillColor rgb="FFFF0000"/>
              <x14:negativeBorderColor rgb="FFFF0000"/>
              <x14:axisColor rgb="FF000000"/>
            </x14:dataBar>
          </x14:cfRule>
          <xm:sqref>AD4:AD1048576 AD2</xm:sqref>
        </x14:conditionalFormatting>
        <x14:conditionalFormatting xmlns:xm="http://schemas.microsoft.com/office/excel/2006/main">
          <x14:cfRule type="dataBar" id="{6C0BC0F4-A7A5-41AE-9B10-E846193C65D5}">
            <x14:dataBar minLength="0" maxLength="100" border="1" negativeBarBorderColorSameAsPositive="0">
              <x14:cfvo type="autoMin"/>
              <x14:cfvo type="autoMax"/>
              <x14:borderColor rgb="FF63C384"/>
              <x14:negativeFillColor rgb="FFFF0000"/>
              <x14:negativeBorderColor rgb="FFFF0000"/>
              <x14:axisColor rgb="FF000000"/>
            </x14:dataBar>
          </x14:cfRule>
          <xm:sqref>AE5:AE1048576</xm:sqref>
        </x14:conditionalFormatting>
        <x14:conditionalFormatting xmlns:xm="http://schemas.microsoft.com/office/excel/2006/main">
          <x14:cfRule type="dataBar" id="{6F49811D-F520-41E1-B1C3-40EB726C74AF}">
            <x14:dataBar minLength="0" maxLength="100" border="1" negativeBarBorderColorSameAsPositive="0">
              <x14:cfvo type="autoMin"/>
              <x14:cfvo type="autoMax"/>
              <x14:borderColor rgb="FFFF555A"/>
              <x14:negativeFillColor rgb="FFFF0000"/>
              <x14:negativeBorderColor rgb="FFFF0000"/>
              <x14:axisColor rgb="FF000000"/>
            </x14:dataBar>
          </x14:cfRule>
          <xm:sqref>AF5:AF1048576</xm:sqref>
        </x14:conditionalFormatting>
        <x14:conditionalFormatting xmlns:xm="http://schemas.microsoft.com/office/excel/2006/main">
          <x14:cfRule type="dataBar" id="{7F1DB6DC-B538-454D-88D2-EE42856D4422}">
            <x14:dataBar minLength="0" maxLength="100" border="1" negativeBarBorderColorSameAsPositive="0">
              <x14:cfvo type="autoMin"/>
              <x14:cfvo type="autoMax"/>
              <x14:borderColor rgb="FFFFB628"/>
              <x14:negativeFillColor rgb="FFFF0000"/>
              <x14:negativeBorderColor rgb="FFFF0000"/>
              <x14:axisColor rgb="FF000000"/>
            </x14:dataBar>
          </x14:cfRule>
          <xm:sqref>AG5:AH1048576</xm:sqref>
        </x14:conditionalFormatting>
        <x14:conditionalFormatting xmlns:xm="http://schemas.microsoft.com/office/excel/2006/main">
          <x14:cfRule type="dataBar" id="{DCD1BD6F-7B1C-438F-9A8F-174BA38982DE}">
            <x14:dataBar minLength="0" maxLength="100" border="1" negativeBarBorderColorSameAsPositive="0">
              <x14:cfvo type="autoMin"/>
              <x14:cfvo type="autoMax"/>
              <x14:borderColor rgb="FF008AEF"/>
              <x14:negativeFillColor rgb="FFFF0000"/>
              <x14:negativeBorderColor rgb="FFFF0000"/>
              <x14:axisColor rgb="FF000000"/>
            </x14:dataBar>
          </x14:cfRule>
          <xm:sqref>AH5:AH1048576</xm:sqref>
        </x14:conditionalFormatting>
        <x14:conditionalFormatting xmlns:xm="http://schemas.microsoft.com/office/excel/2006/main">
          <x14:cfRule type="dataBar" id="{A6C46C43-0287-4840-8412-96BB07AA15A2}">
            <x14:dataBar minLength="0" maxLength="100" border="1" negativeBarBorderColorSameAsPositive="0">
              <x14:cfvo type="autoMin"/>
              <x14:cfvo type="autoMax"/>
              <x14:borderColor rgb="FF638EC6"/>
              <x14:negativeFillColor rgb="FFFF0000"/>
              <x14:negativeBorderColor rgb="FFFF0000"/>
              <x14:axisColor rgb="FF000000"/>
            </x14:dataBar>
          </x14:cfRule>
          <xm:sqref>BN5:BN1048576</xm:sqref>
        </x14:conditionalFormatting>
        <x14:conditionalFormatting xmlns:xm="http://schemas.microsoft.com/office/excel/2006/main">
          <x14:cfRule type="dataBar" id="{503E25FF-D3A6-4E00-80D5-1C41DD95D9EF}">
            <x14:dataBar minLength="0" maxLength="100" border="1" negativeBarBorderColorSameAsPositive="0">
              <x14:cfvo type="autoMin"/>
              <x14:cfvo type="autoMax"/>
              <x14:borderColor rgb="FF63C384"/>
              <x14:negativeFillColor rgb="FFFF0000"/>
              <x14:negativeBorderColor rgb="FFFF0000"/>
              <x14:axisColor rgb="FF000000"/>
            </x14:dataBar>
          </x14:cfRule>
          <xm:sqref>BR5:BR1048576</xm:sqref>
        </x14:conditionalFormatting>
        <x14:conditionalFormatting xmlns:xm="http://schemas.microsoft.com/office/excel/2006/main">
          <x14:cfRule type="dataBar" id="{A5DB1FE0-00CD-4EFF-9EB6-F526DF826AB0}">
            <x14:dataBar minLength="0" maxLength="100" border="1" negativeBarBorderColorSameAsPositive="0">
              <x14:cfvo type="autoMin"/>
              <x14:cfvo type="autoMax"/>
              <x14:borderColor rgb="FFFF555A"/>
              <x14:negativeFillColor rgb="FFFF0000"/>
              <x14:negativeBorderColor rgb="FFFF0000"/>
              <x14:axisColor rgb="FF000000"/>
            </x14:dataBar>
          </x14:cfRule>
          <xm:sqref>BV5:BV1048576</xm:sqref>
        </x14:conditionalFormatting>
        <x14:conditionalFormatting xmlns:xm="http://schemas.microsoft.com/office/excel/2006/main">
          <x14:cfRule type="dataBar" id="{045CA021-3746-4F52-A1CE-06D625ECAAE7}">
            <x14:dataBar minLength="0" maxLength="100" border="1" negativeBarBorderColorSameAsPositive="0">
              <x14:cfvo type="autoMin"/>
              <x14:cfvo type="autoMax"/>
              <x14:borderColor rgb="FFFFB628"/>
              <x14:negativeFillColor rgb="FFFF0000"/>
              <x14:negativeBorderColor rgb="FFFF0000"/>
              <x14:axisColor rgb="FF000000"/>
            </x14:dataBar>
          </x14:cfRule>
          <xm:sqref>BZ5:BZ1048576</xm:sqref>
        </x14:conditionalFormatting>
        <x14:conditionalFormatting xmlns:xm="http://schemas.microsoft.com/office/excel/2006/main">
          <x14:cfRule type="dataBar" id="{AF52D11B-ADB3-4279-98B0-3102E6FA7EEB}">
            <x14:dataBar minLength="0" maxLength="100" border="1" negativeBarBorderColorSameAsPositive="0">
              <x14:cfvo type="autoMin"/>
              <x14:cfvo type="autoMax"/>
              <x14:borderColor rgb="FF008AEF"/>
              <x14:negativeFillColor rgb="FFFF0000"/>
              <x14:negativeBorderColor rgb="FFFF0000"/>
              <x14:axisColor rgb="FF000000"/>
            </x14:dataBar>
          </x14:cfRule>
          <xm:sqref>CD5:CE1048576</xm:sqref>
        </x14:conditionalFormatting>
        <x14:conditionalFormatting xmlns:xm="http://schemas.microsoft.com/office/excel/2006/main">
          <x14:cfRule type="dataBar" id="{3C92D3CB-9521-4418-82F1-1E5BC1D7FEA9}">
            <x14:dataBar minLength="0" maxLength="100" border="1" negativeBarBorderColorSameAsPositive="0">
              <x14:cfvo type="autoMin"/>
              <x14:cfvo type="autoMax"/>
              <x14:borderColor rgb="FF638EC6"/>
              <x14:negativeFillColor rgb="FFFF0000"/>
              <x14:negativeBorderColor rgb="FFFF0000"/>
              <x14:axisColor rgb="FF000000"/>
            </x14:dataBar>
          </x14:cfRule>
          <xm:sqref>AE4</xm:sqref>
        </x14:conditionalFormatting>
        <x14:conditionalFormatting xmlns:xm="http://schemas.microsoft.com/office/excel/2006/main">
          <x14:cfRule type="dataBar" id="{E566DDA6-896D-4B4E-AC81-6370A37A5B47}">
            <x14:dataBar minLength="0" maxLength="100" border="1" negativeBarBorderColorSameAsPositive="0">
              <x14:cfvo type="autoMin"/>
              <x14:cfvo type="autoMax"/>
              <x14:borderColor rgb="FF638EC6"/>
              <x14:negativeFillColor rgb="FFFF0000"/>
              <x14:negativeBorderColor rgb="FFFF0000"/>
              <x14:axisColor rgb="FF000000"/>
            </x14:dataBar>
          </x14:cfRule>
          <xm:sqref>AF4</xm:sqref>
        </x14:conditionalFormatting>
        <x14:conditionalFormatting xmlns:xm="http://schemas.microsoft.com/office/excel/2006/main">
          <x14:cfRule type="dataBar" id="{0BF7CC46-1857-470D-9387-A0AA09385759}">
            <x14:dataBar minLength="0" maxLength="100" border="1" negativeBarBorderColorSameAsPositive="0">
              <x14:cfvo type="autoMin"/>
              <x14:cfvo type="autoMax"/>
              <x14:borderColor rgb="FF638EC6"/>
              <x14:negativeFillColor rgb="FFFF0000"/>
              <x14:negativeBorderColor rgb="FFFF0000"/>
              <x14:axisColor rgb="FF000000"/>
            </x14:dataBar>
          </x14:cfRule>
          <xm:sqref>AG4</xm:sqref>
        </x14:conditionalFormatting>
        <x14:conditionalFormatting xmlns:xm="http://schemas.microsoft.com/office/excel/2006/main">
          <x14:cfRule type="dataBar" id="{6E5CBA40-D73C-4E7A-83BA-7C3FAF33EA5E}">
            <x14:dataBar minLength="0" maxLength="100" border="1" negativeBarBorderColorSameAsPositive="0">
              <x14:cfvo type="autoMin"/>
              <x14:cfvo type="autoMax"/>
              <x14:borderColor rgb="FF638EC6"/>
              <x14:negativeFillColor rgb="FFFF0000"/>
              <x14:negativeBorderColor rgb="FFFF0000"/>
              <x14:axisColor rgb="FF000000"/>
            </x14:dataBar>
          </x14:cfRule>
          <xm:sqref>AH4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Info!$A$40:$A$48</xm:f>
          </x14:formula1>
          <xm:sqref>G4:G30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3</vt:i4>
      </vt:variant>
    </vt:vector>
  </HeadingPairs>
  <TitlesOfParts>
    <vt:vector size="7" baseType="lpstr">
      <vt:lpstr>Instruction</vt:lpstr>
      <vt:lpstr>Notes</vt:lpstr>
      <vt:lpstr>Info</vt:lpstr>
      <vt:lpstr>Calculations</vt:lpstr>
      <vt:lpstr>Chart1</vt:lpstr>
      <vt:lpstr>Chart2</vt:lpstr>
      <vt:lpstr>Chart3</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Screening LCA Spreadsheet</dc:title>
  <dc:creator>Ecointesys - Life Cycle Systems</dc:creator>
  <cp:lastModifiedBy>Alexander Nicolas</cp:lastModifiedBy>
  <cp:lastPrinted>2008-11-11T18:34:02Z</cp:lastPrinted>
  <dcterms:created xsi:type="dcterms:W3CDTF">2008-04-08T13:15:16Z</dcterms:created>
  <dcterms:modified xsi:type="dcterms:W3CDTF">2016-11-22T17:19:14Z</dcterms:modified>
</cp:coreProperties>
</file>